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210" windowWidth="20610" windowHeight="11640"/>
  </bookViews>
  <sheets>
    <sheet name="Partis" sheetId="11" r:id="rId1"/>
    <sheet name="SMU1T" sheetId="1" r:id="rId2"/>
    <sheet name="SMU2T" sheetId="5" r:id="rId3"/>
    <sheet name="Prop" sheetId="9" r:id="rId4"/>
    <sheet name="Mixte comp" sheetId="6" r:id="rId5"/>
    <sheet name="Mixte parall" sheetId="8" r:id="rId6"/>
    <sheet name="Comparaisons" sheetId="2" r:id="rId7"/>
  </sheets>
  <definedNames>
    <definedName name="CA">Partis!$C$11</definedName>
    <definedName name="CB">Partis!$C$12</definedName>
    <definedName name="CC">Partis!$C$13</definedName>
    <definedName name="CD">Partis!$C$14</definedName>
    <definedName name="CE">Partis!$C$15</definedName>
    <definedName name="CF">Partis!$C$16</definedName>
    <definedName name="CG">Partis!$C$17</definedName>
    <definedName name="d1a">Partis!#REF!</definedName>
    <definedName name="d1b">Partis!#REF!</definedName>
    <definedName name="d1c">Partis!#REF!</definedName>
    <definedName name="d2a">Partis!#REF!</definedName>
    <definedName name="d2b">Partis!#REF!</definedName>
    <definedName name="d2c">Partis!#REF!</definedName>
    <definedName name="d3a">Partis!#REF!</definedName>
    <definedName name="d3b">Partis!#REF!</definedName>
    <definedName name="d3c">Partis!#REF!</definedName>
    <definedName name="d4a">Partis!#REF!</definedName>
    <definedName name="d4b">Partis!#REF!</definedName>
    <definedName name="d4c">Partis!#REF!</definedName>
    <definedName name="d5a">Partis!#REF!</definedName>
    <definedName name="d5b">Partis!#REF!</definedName>
    <definedName name="d5c">Partis!#REF!</definedName>
    <definedName name="d6a">Partis!#REF!</definedName>
    <definedName name="d6b">Partis!#REF!</definedName>
    <definedName name="d6c">Partis!#REF!</definedName>
    <definedName name="d7a">Partis!#REF!</definedName>
    <definedName name="d7b">Partis!#REF!</definedName>
    <definedName name="d7c">Partis!#REF!</definedName>
    <definedName name="Nb_sieges">SMU1T!$D$4</definedName>
    <definedName name="nb_smu1t">SMU1T!$S$9</definedName>
    <definedName name="nb_smu2t">SMU2T!$P$9</definedName>
    <definedName name="PA">Partis!$C$4</definedName>
    <definedName name="PB">Partis!$C$5</definedName>
    <definedName name="PC">Partis!$C$6</definedName>
    <definedName name="PD">Partis!#REF!</definedName>
    <definedName name="PE">Partis!#REF!</definedName>
  </definedNames>
  <calcPr calcId="145621"/>
</workbook>
</file>

<file path=xl/calcChain.xml><?xml version="1.0" encoding="utf-8"?>
<calcChain xmlns="http://schemas.openxmlformats.org/spreadsheetml/2006/main">
  <c r="P7" i="9" l="1"/>
  <c r="P8" i="9"/>
  <c r="P6" i="9"/>
  <c r="M5" i="5"/>
  <c r="L5" i="5"/>
  <c r="K5" i="5"/>
  <c r="M8" i="8" l="1"/>
  <c r="M7" i="8"/>
  <c r="M6" i="8"/>
  <c r="AN27" i="6"/>
  <c r="AN26" i="6"/>
  <c r="AN25" i="6"/>
  <c r="AE27" i="6"/>
  <c r="AE26" i="6"/>
  <c r="AE25" i="6"/>
  <c r="M8" i="6"/>
  <c r="M7" i="6"/>
  <c r="M6" i="6"/>
  <c r="Q7" i="9"/>
  <c r="Q8" i="9"/>
  <c r="Q6" i="9"/>
  <c r="AH27" i="9"/>
  <c r="AH26" i="9"/>
  <c r="AH25" i="9"/>
  <c r="Y27" i="9"/>
  <c r="Y26" i="9"/>
  <c r="Y25" i="9"/>
  <c r="T8" i="5"/>
  <c r="T7" i="5"/>
  <c r="T6" i="5"/>
  <c r="N5" i="1"/>
  <c r="M5" i="1"/>
  <c r="L5" i="1"/>
  <c r="AM8" i="9" l="1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J8" i="9"/>
  <c r="M8" i="9" s="1"/>
  <c r="J7" i="9"/>
  <c r="M7" i="9" s="1"/>
  <c r="J6" i="9"/>
  <c r="M6" i="9" s="1"/>
  <c r="O8" i="5"/>
  <c r="O7" i="5"/>
  <c r="O6" i="5"/>
  <c r="L7" i="1"/>
  <c r="M7" i="1"/>
  <c r="N7" i="1"/>
  <c r="L8" i="1"/>
  <c r="M8" i="1"/>
  <c r="N8" i="1"/>
  <c r="L9" i="1"/>
  <c r="M9" i="1"/>
  <c r="N9" i="1"/>
  <c r="L10" i="1"/>
  <c r="M10" i="1"/>
  <c r="N10" i="1"/>
  <c r="L11" i="1"/>
  <c r="M11" i="1"/>
  <c r="N11" i="1"/>
  <c r="L12" i="1"/>
  <c r="M12" i="1"/>
  <c r="N12" i="1"/>
  <c r="M6" i="1"/>
  <c r="N6" i="1"/>
  <c r="L6" i="1"/>
  <c r="C6" i="9"/>
  <c r="F5" i="8"/>
  <c r="E5" i="8"/>
  <c r="D5" i="8"/>
  <c r="F5" i="6"/>
  <c r="E5" i="6"/>
  <c r="D5" i="6"/>
  <c r="C12" i="8"/>
  <c r="C11" i="8"/>
  <c r="C10" i="8"/>
  <c r="C9" i="8"/>
  <c r="C8" i="8"/>
  <c r="C7" i="8"/>
  <c r="C6" i="8"/>
  <c r="C12" i="6"/>
  <c r="C11" i="6"/>
  <c r="C10" i="6"/>
  <c r="C9" i="6"/>
  <c r="C8" i="6"/>
  <c r="C7" i="6"/>
  <c r="C6" i="6"/>
  <c r="B7" i="2"/>
  <c r="B6" i="2"/>
  <c r="B5" i="2"/>
  <c r="C8" i="9"/>
  <c r="C7" i="9"/>
  <c r="C12" i="5"/>
  <c r="C11" i="5"/>
  <c r="C10" i="5"/>
  <c r="C9" i="5"/>
  <c r="C8" i="5"/>
  <c r="C7" i="5"/>
  <c r="C6" i="5"/>
  <c r="F5" i="5"/>
  <c r="E5" i="5"/>
  <c r="D5" i="5"/>
  <c r="Q8" i="1"/>
  <c r="Q7" i="1"/>
  <c r="Q6" i="1"/>
  <c r="C12" i="1"/>
  <c r="B12" i="1" s="1"/>
  <c r="C11" i="1"/>
  <c r="C10" i="1"/>
  <c r="B10" i="1" s="1"/>
  <c r="C9" i="1"/>
  <c r="B9" i="1" s="1"/>
  <c r="C8" i="1"/>
  <c r="B8" i="1" s="1"/>
  <c r="C7" i="1"/>
  <c r="B7" i="1" s="1"/>
  <c r="C6" i="1"/>
  <c r="B6" i="1" s="1"/>
  <c r="F5" i="1"/>
  <c r="E5" i="1"/>
  <c r="D5" i="1"/>
  <c r="U10" i="9" l="1"/>
  <c r="U14" i="9" s="1"/>
  <c r="W10" i="9"/>
  <c r="W14" i="9" s="1"/>
  <c r="Y10" i="9"/>
  <c r="Y14" i="9" s="1"/>
  <c r="AA10" i="9"/>
  <c r="AA14" i="9" s="1"/>
  <c r="AC10" i="9"/>
  <c r="AC14" i="9" s="1"/>
  <c r="AE10" i="9"/>
  <c r="AE14" i="9" s="1"/>
  <c r="AG10" i="9"/>
  <c r="AG14" i="9" s="1"/>
  <c r="AI10" i="9"/>
  <c r="AI14" i="9" s="1"/>
  <c r="AK10" i="9"/>
  <c r="AK14" i="9" s="1"/>
  <c r="AM10" i="9"/>
  <c r="AM14" i="9" s="1"/>
  <c r="U11" i="9"/>
  <c r="W11" i="9"/>
  <c r="Y11" i="9"/>
  <c r="AA11" i="9"/>
  <c r="AC11" i="9"/>
  <c r="AE11" i="9"/>
  <c r="AG11" i="9"/>
  <c r="AI11" i="9"/>
  <c r="AK11" i="9"/>
  <c r="AM11" i="9"/>
  <c r="U12" i="9"/>
  <c r="U17" i="9" s="1"/>
  <c r="W12" i="9"/>
  <c r="W17" i="9" s="1"/>
  <c r="Y12" i="9"/>
  <c r="Y17" i="9" s="1"/>
  <c r="AA12" i="9"/>
  <c r="AA17" i="9" s="1"/>
  <c r="AC12" i="9"/>
  <c r="AC17" i="9" s="1"/>
  <c r="AE12" i="9"/>
  <c r="AE17" i="9" s="1"/>
  <c r="AG12" i="9"/>
  <c r="AG17" i="9" s="1"/>
  <c r="AI12" i="9"/>
  <c r="AI17" i="9" s="1"/>
  <c r="AK12" i="9"/>
  <c r="AK17" i="9" s="1"/>
  <c r="AM12" i="9"/>
  <c r="AM17" i="9" s="1"/>
  <c r="T10" i="9"/>
  <c r="V10" i="9"/>
  <c r="V14" i="9" s="1"/>
  <c r="X10" i="9"/>
  <c r="X14" i="9" s="1"/>
  <c r="Z10" i="9"/>
  <c r="Z14" i="9" s="1"/>
  <c r="AB10" i="9"/>
  <c r="AB14" i="9" s="1"/>
  <c r="AD10" i="9"/>
  <c r="AD14" i="9" s="1"/>
  <c r="AF10" i="9"/>
  <c r="AF14" i="9" s="1"/>
  <c r="AH10" i="9"/>
  <c r="AH14" i="9" s="1"/>
  <c r="AJ10" i="9"/>
  <c r="AJ14" i="9" s="1"/>
  <c r="AL10" i="9"/>
  <c r="AL14" i="9" s="1"/>
  <c r="T11" i="9"/>
  <c r="V11" i="9"/>
  <c r="X11" i="9"/>
  <c r="Z11" i="9"/>
  <c r="AB11" i="9"/>
  <c r="AD11" i="9"/>
  <c r="AF11" i="9"/>
  <c r="AH11" i="9"/>
  <c r="AJ11" i="9"/>
  <c r="AL11" i="9"/>
  <c r="T12" i="9"/>
  <c r="T17" i="9" s="1"/>
  <c r="V12" i="9"/>
  <c r="V17" i="9" s="1"/>
  <c r="X12" i="9"/>
  <c r="X17" i="9" s="1"/>
  <c r="Z12" i="9"/>
  <c r="Z17" i="9" s="1"/>
  <c r="AB12" i="9"/>
  <c r="AB17" i="9" s="1"/>
  <c r="AD12" i="9"/>
  <c r="AD17" i="9" s="1"/>
  <c r="AF12" i="9"/>
  <c r="AF17" i="9" s="1"/>
  <c r="AH12" i="9"/>
  <c r="AH17" i="9" s="1"/>
  <c r="AJ12" i="9"/>
  <c r="AJ17" i="9" s="1"/>
  <c r="AL12" i="9"/>
  <c r="AL17" i="9" s="1"/>
  <c r="B11" i="1"/>
  <c r="D4" i="1" s="1"/>
  <c r="D4" i="6" s="1"/>
  <c r="D4" i="8" l="1"/>
  <c r="D4" i="5"/>
  <c r="S17" i="9"/>
  <c r="AJ16" i="9"/>
  <c r="AJ15" i="9"/>
  <c r="AF16" i="9"/>
  <c r="AF15" i="9"/>
  <c r="AB16" i="9"/>
  <c r="AB15" i="9"/>
  <c r="X16" i="9"/>
  <c r="X15" i="9"/>
  <c r="T16" i="9"/>
  <c r="T15" i="9"/>
  <c r="T14" i="9"/>
  <c r="S14" i="9" s="1"/>
  <c r="AK15" i="9"/>
  <c r="AK16" i="9"/>
  <c r="AG15" i="9"/>
  <c r="AG16" i="9"/>
  <c r="AC15" i="9"/>
  <c r="AC16" i="9"/>
  <c r="Y15" i="9"/>
  <c r="Y16" i="9"/>
  <c r="U15" i="9"/>
  <c r="U16" i="9"/>
  <c r="AL16" i="9"/>
  <c r="AL15" i="9"/>
  <c r="AH16" i="9"/>
  <c r="AH15" i="9"/>
  <c r="AD16" i="9"/>
  <c r="AD15" i="9"/>
  <c r="Z16" i="9"/>
  <c r="Z15" i="9"/>
  <c r="V16" i="9"/>
  <c r="V15" i="9"/>
  <c r="AM15" i="9"/>
  <c r="AM16" i="9"/>
  <c r="AI15" i="9"/>
  <c r="AI16" i="9"/>
  <c r="AE15" i="9"/>
  <c r="AE16" i="9"/>
  <c r="AA15" i="9"/>
  <c r="AA16" i="9"/>
  <c r="W15" i="9"/>
  <c r="W16" i="9"/>
  <c r="S15" i="9" l="1"/>
  <c r="S16" i="9"/>
  <c r="AN6" i="6"/>
  <c r="AO6" i="6"/>
  <c r="AP6" i="6"/>
  <c r="AQ6" i="6"/>
  <c r="AR6" i="6"/>
  <c r="AS6" i="6"/>
  <c r="AN7" i="6"/>
  <c r="AO7" i="6"/>
  <c r="AP7" i="6"/>
  <c r="AQ7" i="6"/>
  <c r="AR7" i="6"/>
  <c r="AS7" i="6"/>
  <c r="AN8" i="6"/>
  <c r="AO8" i="6"/>
  <c r="AP8" i="6"/>
  <c r="AQ8" i="6"/>
  <c r="AR8" i="6"/>
  <c r="AS8" i="6"/>
  <c r="D9" i="9" l="1"/>
  <c r="Q9" i="9" s="1"/>
  <c r="J8" i="8"/>
  <c r="J7" i="8"/>
  <c r="J6" i="8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Z7" i="6"/>
  <c r="Z8" i="6"/>
  <c r="Z6" i="6"/>
  <c r="R10" i="6"/>
  <c r="G12" i="6"/>
  <c r="G11" i="6"/>
  <c r="G10" i="6"/>
  <c r="R9" i="6"/>
  <c r="G9" i="6"/>
  <c r="G8" i="6"/>
  <c r="G7" i="6"/>
  <c r="G6" i="6"/>
  <c r="O8" i="9" l="1"/>
  <c r="O6" i="9"/>
  <c r="O7" i="9"/>
  <c r="AN23" i="8"/>
  <c r="AE23" i="8"/>
  <c r="AE22" i="8"/>
  <c r="AN22" i="8"/>
  <c r="AE24" i="8"/>
  <c r="AN24" i="8"/>
  <c r="R6" i="6"/>
  <c r="Z10" i="6"/>
  <c r="Z14" i="6" s="1"/>
  <c r="R8" i="6"/>
  <c r="E6" i="9"/>
  <c r="Z12" i="6"/>
  <c r="Z16" i="6" s="1"/>
  <c r="AM12" i="6"/>
  <c r="AM16" i="6" s="1"/>
  <c r="AK12" i="6"/>
  <c r="AK16" i="6" s="1"/>
  <c r="AI12" i="6"/>
  <c r="AI16" i="6" s="1"/>
  <c r="AG12" i="6"/>
  <c r="AG16" i="6" s="1"/>
  <c r="AE12" i="6"/>
  <c r="AE16" i="6" s="1"/>
  <c r="AC12" i="6"/>
  <c r="AC16" i="6" s="1"/>
  <c r="AA12" i="6"/>
  <c r="AL11" i="6"/>
  <c r="AL15" i="6" s="1"/>
  <c r="AJ11" i="6"/>
  <c r="AJ15" i="6" s="1"/>
  <c r="AH11" i="6"/>
  <c r="AH15" i="6" s="1"/>
  <c r="AF11" i="6"/>
  <c r="AF15" i="6" s="1"/>
  <c r="AD11" i="6"/>
  <c r="AD15" i="6" s="1"/>
  <c r="AB11" i="6"/>
  <c r="AB15" i="6" s="1"/>
  <c r="AM10" i="6"/>
  <c r="AM14" i="6" s="1"/>
  <c r="AK10" i="6"/>
  <c r="AK14" i="6" s="1"/>
  <c r="AI10" i="6"/>
  <c r="AI14" i="6" s="1"/>
  <c r="AG10" i="6"/>
  <c r="AG14" i="6" s="1"/>
  <c r="AE10" i="6"/>
  <c r="AE14" i="6" s="1"/>
  <c r="AC10" i="6"/>
  <c r="AC14" i="6" s="1"/>
  <c r="AA10" i="6"/>
  <c r="AA14" i="6" s="1"/>
  <c r="AS12" i="6"/>
  <c r="AS16" i="6" s="1"/>
  <c r="AQ11" i="6"/>
  <c r="AQ15" i="6" s="1"/>
  <c r="AQ10" i="6"/>
  <c r="AQ14" i="6" s="1"/>
  <c r="AQ12" i="6"/>
  <c r="AQ16" i="6" s="1"/>
  <c r="AO11" i="6"/>
  <c r="AO15" i="6" s="1"/>
  <c r="AP12" i="6"/>
  <c r="AP16" i="6" s="1"/>
  <c r="AR11" i="6"/>
  <c r="AR15" i="6" s="1"/>
  <c r="AN11" i="6"/>
  <c r="AN15" i="6" s="1"/>
  <c r="AP10" i="6"/>
  <c r="AP14" i="6" s="1"/>
  <c r="AO12" i="6"/>
  <c r="AO16" i="6" s="1"/>
  <c r="AS10" i="6"/>
  <c r="AS14" i="6" s="1"/>
  <c r="AO10" i="6"/>
  <c r="AO14" i="6" s="1"/>
  <c r="AS11" i="6"/>
  <c r="AS15" i="6" s="1"/>
  <c r="AR12" i="6"/>
  <c r="AR16" i="6" s="1"/>
  <c r="AN12" i="6"/>
  <c r="AN16" i="6" s="1"/>
  <c r="AP11" i="6"/>
  <c r="AP15" i="6" s="1"/>
  <c r="AR10" i="6"/>
  <c r="AR14" i="6" s="1"/>
  <c r="AN10" i="6"/>
  <c r="AN14" i="6" s="1"/>
  <c r="Z11" i="6"/>
  <c r="Z15" i="6" s="1"/>
  <c r="AL12" i="6"/>
  <c r="AL16" i="6" s="1"/>
  <c r="AJ12" i="6"/>
  <c r="AJ16" i="6" s="1"/>
  <c r="AH12" i="6"/>
  <c r="AH16" i="6" s="1"/>
  <c r="AF12" i="6"/>
  <c r="AF16" i="6" s="1"/>
  <c r="AD12" i="6"/>
  <c r="AD16" i="6" s="1"/>
  <c r="AB12" i="6"/>
  <c r="AB16" i="6" s="1"/>
  <c r="AM11" i="6"/>
  <c r="AM15" i="6" s="1"/>
  <c r="AK11" i="6"/>
  <c r="AK15" i="6" s="1"/>
  <c r="AI11" i="6"/>
  <c r="AI15" i="6" s="1"/>
  <c r="AG11" i="6"/>
  <c r="AG15" i="6" s="1"/>
  <c r="AE11" i="6"/>
  <c r="AE15" i="6" s="1"/>
  <c r="AC11" i="6"/>
  <c r="AC15" i="6" s="1"/>
  <c r="AA11" i="6"/>
  <c r="AA15" i="6" s="1"/>
  <c r="AL10" i="6"/>
  <c r="AL14" i="6" s="1"/>
  <c r="AJ10" i="6"/>
  <c r="AJ14" i="6" s="1"/>
  <c r="AH10" i="6"/>
  <c r="AH14" i="6" s="1"/>
  <c r="AF10" i="6"/>
  <c r="AD10" i="6"/>
  <c r="AD14" i="6" s="1"/>
  <c r="AB10" i="6"/>
  <c r="AB14" i="6" s="1"/>
  <c r="AR6" i="8"/>
  <c r="AP6" i="8"/>
  <c r="AN6" i="8"/>
  <c r="AL6" i="8"/>
  <c r="AJ6" i="8"/>
  <c r="AS6" i="8"/>
  <c r="AO6" i="8"/>
  <c r="AK6" i="8"/>
  <c r="AH6" i="8"/>
  <c r="AF6" i="8"/>
  <c r="AD6" i="8"/>
  <c r="AB6" i="8"/>
  <c r="Z6" i="8"/>
  <c r="AM6" i="8"/>
  <c r="AG6" i="8"/>
  <c r="AC6" i="8"/>
  <c r="AQ6" i="8"/>
  <c r="AI6" i="8"/>
  <c r="AE6" i="8"/>
  <c r="AA6" i="8"/>
  <c r="AR8" i="8"/>
  <c r="AP8" i="8"/>
  <c r="AN8" i="8"/>
  <c r="AL8" i="8"/>
  <c r="AJ8" i="8"/>
  <c r="AH8" i="8"/>
  <c r="AF8" i="8"/>
  <c r="AD8" i="8"/>
  <c r="AB8" i="8"/>
  <c r="Z8" i="8"/>
  <c r="AS8" i="8"/>
  <c r="AO8" i="8"/>
  <c r="AK8" i="8"/>
  <c r="AG8" i="8"/>
  <c r="AC8" i="8"/>
  <c r="AQ8" i="8"/>
  <c r="AM8" i="8"/>
  <c r="AI8" i="8"/>
  <c r="AE8" i="8"/>
  <c r="AA8" i="8"/>
  <c r="AR7" i="8"/>
  <c r="AP7" i="8"/>
  <c r="AN7" i="8"/>
  <c r="AL7" i="8"/>
  <c r="AJ7" i="8"/>
  <c r="AH7" i="8"/>
  <c r="AF7" i="8"/>
  <c r="AD7" i="8"/>
  <c r="AB7" i="8"/>
  <c r="Z7" i="8"/>
  <c r="AS7" i="8"/>
  <c r="AO7" i="8"/>
  <c r="AK7" i="8"/>
  <c r="AG7" i="8"/>
  <c r="AC7" i="8"/>
  <c r="AQ7" i="8"/>
  <c r="AM7" i="8"/>
  <c r="AI7" i="8"/>
  <c r="AA7" i="8"/>
  <c r="AE7" i="8"/>
  <c r="AF14" i="6"/>
  <c r="AA16" i="6"/>
  <c r="E8" i="9"/>
  <c r="K7" i="6"/>
  <c r="V7" i="6" s="1"/>
  <c r="E7" i="9"/>
  <c r="R7" i="6"/>
  <c r="K8" i="6"/>
  <c r="K6" i="6"/>
  <c r="S9" i="1"/>
  <c r="G12" i="1"/>
  <c r="G7" i="1"/>
  <c r="G8" i="1"/>
  <c r="G9" i="1"/>
  <c r="G10" i="1"/>
  <c r="G11" i="1"/>
  <c r="G6" i="1"/>
  <c r="D6" i="5" l="1"/>
  <c r="K6" i="5" s="1"/>
  <c r="F11" i="5"/>
  <c r="M11" i="5" s="1"/>
  <c r="F7" i="5"/>
  <c r="M7" i="5" s="1"/>
  <c r="E11" i="5"/>
  <c r="L11" i="5" s="1"/>
  <c r="E9" i="5"/>
  <c r="L9" i="5" s="1"/>
  <c r="E7" i="5"/>
  <c r="L7" i="5" s="1"/>
  <c r="F10" i="5"/>
  <c r="M10" i="5" s="1"/>
  <c r="F6" i="5"/>
  <c r="M6" i="5" s="1"/>
  <c r="D11" i="5"/>
  <c r="K11" i="5" s="1"/>
  <c r="D9" i="5"/>
  <c r="K9" i="5" s="1"/>
  <c r="D7" i="5"/>
  <c r="K7" i="5" s="1"/>
  <c r="F9" i="5"/>
  <c r="M9" i="5" s="1"/>
  <c r="E12" i="5"/>
  <c r="L12" i="5" s="1"/>
  <c r="E10" i="5"/>
  <c r="L10" i="5" s="1"/>
  <c r="E8" i="5"/>
  <c r="L8" i="5" s="1"/>
  <c r="E6" i="5"/>
  <c r="L6" i="5" s="1"/>
  <c r="F12" i="5"/>
  <c r="M12" i="5" s="1"/>
  <c r="F8" i="5"/>
  <c r="M8" i="5" s="1"/>
  <c r="D12" i="5"/>
  <c r="K12" i="5" s="1"/>
  <c r="D10" i="5"/>
  <c r="K10" i="5" s="1"/>
  <c r="D8" i="5"/>
  <c r="K8" i="5" s="1"/>
  <c r="Y14" i="6"/>
  <c r="Q6" i="6" s="1"/>
  <c r="T8" i="1"/>
  <c r="Z18" i="1" s="1"/>
  <c r="T6" i="1"/>
  <c r="Z16" i="1" s="1"/>
  <c r="T7" i="1"/>
  <c r="Z17" i="1" s="1"/>
  <c r="Y16" i="6"/>
  <c r="Q8" i="6" s="1"/>
  <c r="S8" i="6" s="1"/>
  <c r="Y15" i="6"/>
  <c r="Q7" i="6" s="1"/>
  <c r="S7" i="6" s="1"/>
  <c r="AE11" i="8"/>
  <c r="AE14" i="8" s="1"/>
  <c r="AI11" i="8"/>
  <c r="AI14" i="8" s="1"/>
  <c r="AQ11" i="8"/>
  <c r="AQ14" i="8" s="1"/>
  <c r="AG11" i="8"/>
  <c r="AG14" i="8" s="1"/>
  <c r="AO11" i="8"/>
  <c r="AO14" i="8" s="1"/>
  <c r="Z11" i="8"/>
  <c r="Z14" i="8" s="1"/>
  <c r="AD11" i="8"/>
  <c r="AD14" i="8" s="1"/>
  <c r="AH11" i="8"/>
  <c r="AH14" i="8" s="1"/>
  <c r="AL11" i="8"/>
  <c r="AL14" i="8" s="1"/>
  <c r="AP11" i="8"/>
  <c r="AP14" i="8" s="1"/>
  <c r="AA12" i="8"/>
  <c r="AA15" i="8" s="1"/>
  <c r="AI12" i="8"/>
  <c r="AI15" i="8" s="1"/>
  <c r="AQ12" i="8"/>
  <c r="AQ15" i="8" s="1"/>
  <c r="AG12" i="8"/>
  <c r="AG15" i="8" s="1"/>
  <c r="AO12" i="8"/>
  <c r="AO15" i="8" s="1"/>
  <c r="Z12" i="8"/>
  <c r="Z15" i="8" s="1"/>
  <c r="AD12" i="8"/>
  <c r="AD15" i="8" s="1"/>
  <c r="AH12" i="8"/>
  <c r="AH15" i="8" s="1"/>
  <c r="AL12" i="8"/>
  <c r="AL15" i="8" s="1"/>
  <c r="AP12" i="8"/>
  <c r="AP15" i="8" s="1"/>
  <c r="AA10" i="8"/>
  <c r="AA13" i="8" s="1"/>
  <c r="AI10" i="8"/>
  <c r="AI13" i="8" s="1"/>
  <c r="AC10" i="8"/>
  <c r="AC13" i="8" s="1"/>
  <c r="AM10" i="8"/>
  <c r="AM13" i="8" s="1"/>
  <c r="AB10" i="8"/>
  <c r="AB13" i="8" s="1"/>
  <c r="AF10" i="8"/>
  <c r="AF13" i="8" s="1"/>
  <c r="AK10" i="8"/>
  <c r="AK13" i="8" s="1"/>
  <c r="AS10" i="8"/>
  <c r="AS13" i="8" s="1"/>
  <c r="AL10" i="8"/>
  <c r="AL13" i="8" s="1"/>
  <c r="AP10" i="8"/>
  <c r="AP13" i="8" s="1"/>
  <c r="AA11" i="8"/>
  <c r="AA14" i="8" s="1"/>
  <c r="AM11" i="8"/>
  <c r="AM14" i="8" s="1"/>
  <c r="AC11" i="8"/>
  <c r="AC14" i="8" s="1"/>
  <c r="AK11" i="8"/>
  <c r="AK14" i="8" s="1"/>
  <c r="AS11" i="8"/>
  <c r="AS14" i="8" s="1"/>
  <c r="AB11" i="8"/>
  <c r="AB14" i="8" s="1"/>
  <c r="AF11" i="8"/>
  <c r="AF14" i="8" s="1"/>
  <c r="AJ11" i="8"/>
  <c r="AJ14" i="8" s="1"/>
  <c r="AN11" i="8"/>
  <c r="AN14" i="8" s="1"/>
  <c r="AR11" i="8"/>
  <c r="AR14" i="8" s="1"/>
  <c r="AE12" i="8"/>
  <c r="AE15" i="8" s="1"/>
  <c r="AM12" i="8"/>
  <c r="AM15" i="8" s="1"/>
  <c r="AC12" i="8"/>
  <c r="AC15" i="8" s="1"/>
  <c r="AK12" i="8"/>
  <c r="AK15" i="8" s="1"/>
  <c r="AS12" i="8"/>
  <c r="AS15" i="8" s="1"/>
  <c r="AB12" i="8"/>
  <c r="AB15" i="8" s="1"/>
  <c r="AF12" i="8"/>
  <c r="AF15" i="8" s="1"/>
  <c r="AJ12" i="8"/>
  <c r="AJ15" i="8" s="1"/>
  <c r="AN12" i="8"/>
  <c r="AN15" i="8" s="1"/>
  <c r="AR12" i="8"/>
  <c r="AR15" i="8" s="1"/>
  <c r="AE10" i="8"/>
  <c r="AE13" i="8" s="1"/>
  <c r="AQ10" i="8"/>
  <c r="AQ13" i="8" s="1"/>
  <c r="AG10" i="8"/>
  <c r="AG13" i="8" s="1"/>
  <c r="Z10" i="8"/>
  <c r="Z13" i="8" s="1"/>
  <c r="AD10" i="8"/>
  <c r="AD13" i="8" s="1"/>
  <c r="AH10" i="8"/>
  <c r="AH13" i="8" s="1"/>
  <c r="AO10" i="8"/>
  <c r="AO13" i="8" s="1"/>
  <c r="AJ10" i="8"/>
  <c r="AJ13" i="8" s="1"/>
  <c r="AN10" i="8"/>
  <c r="AN13" i="8" s="1"/>
  <c r="AR10" i="8"/>
  <c r="AR13" i="8" s="1"/>
  <c r="I7" i="2"/>
  <c r="I5" i="2"/>
  <c r="N8" i="9"/>
  <c r="I6" i="2"/>
  <c r="K7" i="8"/>
  <c r="N7" i="9"/>
  <c r="N6" i="9"/>
  <c r="K6" i="8"/>
  <c r="K8" i="8"/>
  <c r="V8" i="6"/>
  <c r="V6" i="6"/>
  <c r="U8" i="1"/>
  <c r="U7" i="1"/>
  <c r="U6" i="1"/>
  <c r="R7" i="1"/>
  <c r="R6" i="1"/>
  <c r="R8" i="1"/>
  <c r="P9" i="5" l="1"/>
  <c r="O8" i="1"/>
  <c r="S6" i="6"/>
  <c r="T6" i="6"/>
  <c r="T8" i="6"/>
  <c r="T7" i="6"/>
  <c r="O7" i="1"/>
  <c r="O6" i="1"/>
  <c r="G9" i="5"/>
  <c r="G10" i="5"/>
  <c r="G11" i="5"/>
  <c r="G12" i="5"/>
  <c r="G8" i="5"/>
  <c r="G5" i="2"/>
  <c r="G6" i="2"/>
  <c r="G7" i="2"/>
  <c r="S6" i="1"/>
  <c r="D5" i="2" s="1"/>
  <c r="C6" i="2"/>
  <c r="C5" i="2"/>
  <c r="C7" i="2"/>
  <c r="S7" i="1"/>
  <c r="D6" i="2" s="1"/>
  <c r="S8" i="1"/>
  <c r="D7" i="2" s="1"/>
  <c r="P8" i="5" l="1"/>
  <c r="W8" i="5" s="1"/>
  <c r="P6" i="5"/>
  <c r="W6" i="5" s="1"/>
  <c r="P7" i="5"/>
  <c r="W7" i="5" s="1"/>
  <c r="T17" i="1"/>
  <c r="G7" i="5"/>
  <c r="T18" i="1"/>
  <c r="T16" i="1"/>
  <c r="AI16" i="1" s="1"/>
  <c r="AI17" i="1"/>
  <c r="U17" i="1" l="1"/>
  <c r="V17" i="1" s="1"/>
  <c r="Y16" i="1"/>
  <c r="X6" i="5"/>
  <c r="Y16" i="5" s="1"/>
  <c r="X7" i="5"/>
  <c r="X9" i="5"/>
  <c r="X8" i="5"/>
  <c r="U18" i="1"/>
  <c r="AI18" i="1"/>
  <c r="Y18" i="1"/>
  <c r="Y17" i="1"/>
  <c r="U16" i="1"/>
  <c r="V16" i="1" s="1"/>
  <c r="Y18" i="5" l="1"/>
  <c r="AB18" i="1"/>
  <c r="X18" i="1"/>
  <c r="V18" i="1"/>
  <c r="W18" i="1"/>
  <c r="AC18" i="1"/>
  <c r="AD18" i="1" s="1"/>
  <c r="AA18" i="1"/>
  <c r="Y17" i="5"/>
  <c r="X16" i="1"/>
  <c r="W16" i="1"/>
  <c r="AA16" i="1" s="1"/>
  <c r="X17" i="1"/>
  <c r="W17" i="1"/>
  <c r="R10" i="8"/>
  <c r="AJ18" i="1" l="1"/>
  <c r="AG18" i="1"/>
  <c r="AF18" i="1"/>
  <c r="AL18" i="1"/>
  <c r="P8" i="1" s="1"/>
  <c r="AK18" i="1"/>
  <c r="AE18" i="1"/>
  <c r="AB16" i="1"/>
  <c r="D6" i="8"/>
  <c r="E6" i="8"/>
  <c r="AA17" i="1"/>
  <c r="AB17" i="1"/>
  <c r="F12" i="8"/>
  <c r="D12" i="8"/>
  <c r="E11" i="8"/>
  <c r="F10" i="8"/>
  <c r="E9" i="8"/>
  <c r="D8" i="8"/>
  <c r="F6" i="8"/>
  <c r="E12" i="8"/>
  <c r="F11" i="8"/>
  <c r="D11" i="8"/>
  <c r="E10" i="8"/>
  <c r="F9" i="8"/>
  <c r="D9" i="8"/>
  <c r="E8" i="8"/>
  <c r="F7" i="8"/>
  <c r="D7" i="8"/>
  <c r="D10" i="8"/>
  <c r="F8" i="8"/>
  <c r="E7" i="8"/>
  <c r="AC16" i="1" l="1"/>
  <c r="AC17" i="1"/>
  <c r="AD17" i="1" s="1"/>
  <c r="AK17" i="1" s="1"/>
  <c r="G8" i="8"/>
  <c r="R9" i="8"/>
  <c r="G9" i="8"/>
  <c r="G10" i="8"/>
  <c r="G7" i="8"/>
  <c r="G11" i="8"/>
  <c r="G6" i="8"/>
  <c r="G12" i="8"/>
  <c r="U6" i="8" l="1"/>
  <c r="U8" i="8"/>
  <c r="K7" i="2" s="1"/>
  <c r="U7" i="8"/>
  <c r="AJ17" i="1"/>
  <c r="AH17" i="1"/>
  <c r="AE17" i="1"/>
  <c r="AG17" i="1"/>
  <c r="AD16" i="1"/>
  <c r="AE16" i="1" s="1"/>
  <c r="AG16" i="1" s="1"/>
  <c r="AF17" i="1"/>
  <c r="AL17" i="1"/>
  <c r="P7" i="1" s="1"/>
  <c r="AH18" i="1"/>
  <c r="AH16" i="1"/>
  <c r="Q6" i="8"/>
  <c r="Q7" i="8"/>
  <c r="K6" i="2"/>
  <c r="Q8" i="8"/>
  <c r="K5" i="2" l="1"/>
  <c r="U9" i="8"/>
  <c r="AF16" i="1"/>
  <c r="AK16" i="1" s="1"/>
  <c r="AL16" i="1" s="1"/>
  <c r="P6" i="1" s="1"/>
  <c r="AJ16" i="1" l="1"/>
  <c r="J17" i="1"/>
  <c r="H17" i="1"/>
  <c r="D17" i="1"/>
  <c r="I16" i="1"/>
  <c r="G16" i="1"/>
  <c r="J15" i="1"/>
  <c r="H15" i="1"/>
  <c r="D15" i="1"/>
  <c r="I17" i="1"/>
  <c r="G17" i="1"/>
  <c r="J16" i="1"/>
  <c r="H16" i="1"/>
  <c r="D16" i="1"/>
  <c r="I15" i="1"/>
  <c r="G15" i="1"/>
  <c r="G6" i="5"/>
  <c r="C17" i="1" l="1"/>
  <c r="C15" i="1"/>
  <c r="C16" i="1"/>
  <c r="N8" i="5" l="1"/>
  <c r="N6" i="5"/>
  <c r="N7" i="5"/>
  <c r="E5" i="2"/>
  <c r="E7" i="2"/>
  <c r="E6" i="2"/>
  <c r="Q7" i="5" l="1"/>
  <c r="F6" i="2" s="1"/>
  <c r="Q6" i="5"/>
  <c r="F5" i="2" s="1"/>
  <c r="Q8" i="5"/>
  <c r="F7" i="2" s="1"/>
  <c r="U6" i="5" l="1"/>
  <c r="U8" i="5"/>
  <c r="U7" i="5"/>
  <c r="R8" i="5" l="1"/>
  <c r="S18" i="5" s="1"/>
  <c r="T18" i="5" s="1"/>
  <c r="V8" i="5"/>
  <c r="R7" i="5"/>
  <c r="S17" i="5" s="1"/>
  <c r="V7" i="5"/>
  <c r="R6" i="5"/>
  <c r="S16" i="5" s="1"/>
  <c r="V6" i="5"/>
  <c r="Y15" i="8"/>
  <c r="R8" i="8" s="1"/>
  <c r="S8" i="8" s="1"/>
  <c r="T8" i="8" s="1"/>
  <c r="Y14" i="8"/>
  <c r="R7" i="8" s="1"/>
  <c r="S7" i="8" s="1"/>
  <c r="T7" i="8" s="1"/>
  <c r="T17" i="5" l="1"/>
  <c r="T16" i="5"/>
  <c r="U16" i="5" s="1"/>
  <c r="X18" i="5"/>
  <c r="X17" i="5"/>
  <c r="X16" i="5"/>
  <c r="U18" i="5"/>
  <c r="W18" i="5"/>
  <c r="AH18" i="5" s="1"/>
  <c r="V18" i="5"/>
  <c r="AA18" i="5" s="1"/>
  <c r="AB18" i="5"/>
  <c r="Z18" i="5"/>
  <c r="Y13" i="8"/>
  <c r="R6" i="8" s="1"/>
  <c r="S6" i="8" s="1"/>
  <c r="T6" i="8" s="1"/>
  <c r="T9" i="8" s="1"/>
  <c r="U17" i="5" l="1"/>
  <c r="V16" i="5" s="1"/>
  <c r="N6" i="8"/>
  <c r="Y22" i="8" s="1"/>
  <c r="N8" i="8"/>
  <c r="Y24" i="8" s="1"/>
  <c r="N7" i="8"/>
  <c r="Y23" i="8" s="1"/>
  <c r="AC18" i="5"/>
  <c r="W17" i="5" l="1"/>
  <c r="AH17" i="5" s="1"/>
  <c r="V17" i="5"/>
  <c r="W16" i="5"/>
  <c r="AH16" i="5" s="1"/>
  <c r="AA16" i="5"/>
  <c r="Z16" i="5"/>
  <c r="Z23" i="8"/>
  <c r="AD23" i="8"/>
  <c r="AD22" i="8"/>
  <c r="Z22" i="8"/>
  <c r="AD24" i="8"/>
  <c r="Z24" i="8"/>
  <c r="AD18" i="5"/>
  <c r="AJ18" i="5"/>
  <c r="AI18" i="5"/>
  <c r="AF18" i="5"/>
  <c r="AK18" i="5"/>
  <c r="S8" i="5" s="1"/>
  <c r="AA17" i="5" l="1"/>
  <c r="AB17" i="5" s="1"/>
  <c r="AC17" i="5" s="1"/>
  <c r="Z17" i="5"/>
  <c r="AB16" i="5"/>
  <c r="AA24" i="8"/>
  <c r="AA22" i="8"/>
  <c r="AB22" i="8" s="1"/>
  <c r="AF22" i="8"/>
  <c r="AC22" i="8"/>
  <c r="AG22" i="8"/>
  <c r="AH22" i="8"/>
  <c r="AA23" i="8"/>
  <c r="AB23" i="8"/>
  <c r="AC23" i="8"/>
  <c r="AF23" i="8"/>
  <c r="AG23" i="8"/>
  <c r="AB24" i="8" l="1"/>
  <c r="AC24" i="8"/>
  <c r="AG17" i="5"/>
  <c r="AD17" i="5"/>
  <c r="AE18" i="5" s="1"/>
  <c r="AC16" i="5"/>
  <c r="AK16" i="5" s="1"/>
  <c r="S6" i="5" s="1"/>
  <c r="AG16" i="5"/>
  <c r="AG18" i="5"/>
  <c r="L6" i="2"/>
  <c r="L5" i="2"/>
  <c r="L7" i="2"/>
  <c r="AF24" i="8" l="1"/>
  <c r="AG24" i="8"/>
  <c r="AH23" i="8" s="1"/>
  <c r="AJ16" i="5"/>
  <c r="AI16" i="5"/>
  <c r="AF16" i="5"/>
  <c r="AE16" i="5"/>
  <c r="AD16" i="5"/>
  <c r="AH24" i="8" l="1"/>
  <c r="AM23" i="8" s="1"/>
  <c r="AM22" i="8"/>
  <c r="AI22" i="8"/>
  <c r="AE17" i="5"/>
  <c r="AF17" i="5"/>
  <c r="AI23" i="8" l="1"/>
  <c r="AK22" i="8"/>
  <c r="AO22" i="8"/>
  <c r="AJ22" i="8"/>
  <c r="AL22" i="8" s="1"/>
  <c r="AP22" i="8"/>
  <c r="AQ22" i="8" s="1"/>
  <c r="O6" i="8" s="1"/>
  <c r="AI24" i="8"/>
  <c r="AM24" i="8"/>
  <c r="AJ17" i="5"/>
  <c r="AK17" i="5"/>
  <c r="S7" i="5" s="1"/>
  <c r="AI17" i="5"/>
  <c r="AK24" i="8" l="1"/>
  <c r="AQ24" i="8"/>
  <c r="O8" i="8" s="1"/>
  <c r="AL24" i="8"/>
  <c r="AO24" i="8"/>
  <c r="AP24" i="8"/>
  <c r="AJ24" i="8"/>
  <c r="AP23" i="8"/>
  <c r="AL23" i="8"/>
  <c r="AO23" i="8"/>
  <c r="AJ23" i="8"/>
  <c r="AQ23" i="8"/>
  <c r="O7" i="8" s="1"/>
  <c r="H17" i="8" s="1"/>
  <c r="AK23" i="8"/>
  <c r="H17" i="5"/>
  <c r="D17" i="5"/>
  <c r="I17" i="5"/>
  <c r="G17" i="5"/>
  <c r="I16" i="5"/>
  <c r="H15" i="5"/>
  <c r="G16" i="5"/>
  <c r="D15" i="5"/>
  <c r="I15" i="5"/>
  <c r="H16" i="5"/>
  <c r="G15" i="5"/>
  <c r="D16" i="5"/>
  <c r="H15" i="8" l="1"/>
  <c r="D15" i="8"/>
  <c r="G15" i="8"/>
  <c r="I15" i="8"/>
  <c r="J15" i="8"/>
  <c r="J16" i="8"/>
  <c r="D17" i="8"/>
  <c r="I16" i="8"/>
  <c r="H16" i="8"/>
  <c r="H18" i="8" s="1"/>
  <c r="D16" i="8"/>
  <c r="I17" i="8"/>
  <c r="G16" i="8"/>
  <c r="J17" i="8"/>
  <c r="G17" i="8"/>
  <c r="N6" i="6"/>
  <c r="I18" i="8" l="1"/>
  <c r="Y25" i="6"/>
  <c r="N8" i="6"/>
  <c r="Y27" i="6" s="1"/>
  <c r="N7" i="6" l="1"/>
  <c r="Y26" i="6" s="1"/>
  <c r="Z26" i="6" s="1"/>
  <c r="AD27" i="6" l="1"/>
  <c r="Z27" i="6"/>
  <c r="Z25" i="6"/>
  <c r="AD26" i="6"/>
  <c r="AD25" i="6"/>
  <c r="AA27" i="6" l="1"/>
  <c r="AA25" i="6"/>
  <c r="AA26" i="6"/>
  <c r="AC25" i="6" l="1"/>
  <c r="AB25" i="6"/>
  <c r="AC27" i="6"/>
  <c r="AB26" i="6"/>
  <c r="AF26" i="6" s="1"/>
  <c r="AB27" i="6"/>
  <c r="AF27" i="6" s="1"/>
  <c r="AC26" i="6"/>
  <c r="AF25" i="6" l="1"/>
  <c r="AG25" i="6"/>
  <c r="AG26" i="6"/>
  <c r="AG27" i="6"/>
  <c r="AH25" i="6" l="1"/>
  <c r="AH26" i="6"/>
  <c r="AH27" i="6"/>
  <c r="AM27" i="6" l="1"/>
  <c r="AI25" i="6"/>
  <c r="AI26" i="6"/>
  <c r="AJ26" i="6" s="1"/>
  <c r="AM25" i="6"/>
  <c r="AM26" i="6"/>
  <c r="AI27" i="6"/>
  <c r="AJ27" i="6" s="1"/>
  <c r="AJ25" i="6" l="1"/>
  <c r="AK25" i="6" l="1"/>
  <c r="AL26" i="6"/>
  <c r="AL27" i="6"/>
  <c r="AK27" i="6"/>
  <c r="AK26" i="6"/>
  <c r="AL25" i="6"/>
  <c r="AO27" i="6" l="1"/>
  <c r="AP27" i="6"/>
  <c r="AO26" i="6"/>
  <c r="AP26" i="6"/>
  <c r="AO25" i="6"/>
  <c r="AP25" i="6"/>
  <c r="AQ25" i="6" l="1"/>
  <c r="O6" i="6" s="1"/>
  <c r="AQ26" i="6"/>
  <c r="O7" i="6" s="1"/>
  <c r="AQ27" i="6"/>
  <c r="O8" i="6" s="1"/>
  <c r="J16" i="6" l="1"/>
  <c r="I17" i="6"/>
  <c r="J17" i="6"/>
  <c r="G17" i="6"/>
  <c r="I15" i="6"/>
  <c r="J15" i="6"/>
  <c r="H15" i="6"/>
  <c r="I16" i="6"/>
  <c r="H16" i="6"/>
  <c r="D17" i="6"/>
  <c r="H17" i="6"/>
  <c r="D15" i="6"/>
  <c r="G16" i="6"/>
  <c r="D16" i="6"/>
  <c r="G15" i="6"/>
  <c r="J18" i="6" l="1"/>
  <c r="U8" i="6" s="1"/>
  <c r="G18" i="6"/>
  <c r="U6" i="6"/>
  <c r="J5" i="2" s="1"/>
  <c r="U7" i="6" l="1"/>
  <c r="J7" i="2"/>
  <c r="K15" i="6"/>
  <c r="K17" i="6" l="1"/>
  <c r="K16" i="6"/>
  <c r="J6" i="2"/>
  <c r="K8" i="9" l="1"/>
  <c r="S27" i="9" s="1"/>
  <c r="K7" i="9"/>
  <c r="S26" i="9" s="1"/>
  <c r="O9" i="9"/>
  <c r="H15" i="9" s="1"/>
  <c r="K6" i="9"/>
  <c r="S25" i="9" s="1"/>
  <c r="X25" i="9" l="1"/>
  <c r="T25" i="9"/>
  <c r="X26" i="9"/>
  <c r="X27" i="9"/>
  <c r="T26" i="9"/>
  <c r="H5" i="2"/>
  <c r="H6" i="2"/>
  <c r="T27" i="9"/>
  <c r="H7" i="2"/>
  <c r="U27" i="9" l="1"/>
  <c r="U25" i="9"/>
  <c r="W27" i="9" s="1"/>
  <c r="AA25" i="9"/>
  <c r="Z25" i="9"/>
  <c r="AB25" i="9"/>
  <c r="W25" i="9"/>
  <c r="V25" i="9"/>
  <c r="W26" i="9"/>
  <c r="U26" i="9"/>
  <c r="V26" i="9"/>
  <c r="AA26" i="9" s="1"/>
  <c r="V27" i="9" l="1"/>
  <c r="Z26" i="9"/>
  <c r="AA27" i="9" l="1"/>
  <c r="AB26" i="9" s="1"/>
  <c r="Z27" i="9"/>
  <c r="AB27" i="9"/>
  <c r="AG27" i="9" l="1"/>
  <c r="AC27" i="9"/>
  <c r="AC26" i="9"/>
  <c r="AC25" i="9"/>
  <c r="AG26" i="9"/>
  <c r="AG25" i="9"/>
  <c r="AF25" i="9" l="1"/>
  <c r="AE25" i="9"/>
  <c r="AI25" i="9"/>
  <c r="AJ25" i="9"/>
  <c r="AK25" i="9"/>
  <c r="L6" i="9" s="1"/>
  <c r="AD25" i="9"/>
  <c r="AJ27" i="9"/>
  <c r="AK27" i="9"/>
  <c r="L8" i="9" s="1"/>
  <c r="AD27" i="9"/>
  <c r="AE27" i="9"/>
  <c r="AF27" i="9"/>
  <c r="AI27" i="9"/>
  <c r="AE26" i="9"/>
  <c r="AJ26" i="9"/>
  <c r="AI26" i="9"/>
  <c r="AD26" i="9"/>
  <c r="AK26" i="9"/>
  <c r="L7" i="9" s="1"/>
  <c r="AF26" i="9"/>
  <c r="H12" i="9" l="1"/>
  <c r="D14" i="9"/>
  <c r="H13" i="9"/>
  <c r="G13" i="9"/>
  <c r="F13" i="9"/>
  <c r="D12" i="9"/>
  <c r="F12" i="9"/>
  <c r="F14" i="9"/>
  <c r="G14" i="9"/>
  <c r="H14" i="9"/>
  <c r="D13" i="9"/>
  <c r="G12" i="9"/>
</calcChain>
</file>

<file path=xl/sharedStrings.xml><?xml version="1.0" encoding="utf-8"?>
<sst xmlns="http://schemas.openxmlformats.org/spreadsheetml/2006/main" count="255" uniqueCount="67">
  <si>
    <t>Parti A</t>
  </si>
  <si>
    <t>Parti B</t>
  </si>
  <si>
    <t>Parti C</t>
  </si>
  <si>
    <t>Gouvernement</t>
  </si>
  <si>
    <t>Opposition</t>
  </si>
  <si>
    <t>2e opposition</t>
  </si>
  <si>
    <t>Élu</t>
  </si>
  <si>
    <t>Nombre de députés</t>
  </si>
  <si>
    <t>Pourcentage des voix</t>
  </si>
  <si>
    <t>Pourcentage des sièges</t>
  </si>
  <si>
    <t>Nombre de votants</t>
  </si>
  <si>
    <t>Parti</t>
  </si>
  <si>
    <t>Nombre de députés selon le mode de scrutin</t>
  </si>
  <si>
    <t>SMU1T</t>
  </si>
  <si>
    <t>SMU2T</t>
  </si>
  <si>
    <t>Proportionnel</t>
  </si>
  <si>
    <t> % voix</t>
  </si>
  <si>
    <t> % sièges</t>
  </si>
  <si>
    <t>Scrutin Majoritaire uninominal</t>
  </si>
  <si>
    <t>À un tour</t>
  </si>
  <si>
    <t>À 2 tours</t>
  </si>
  <si>
    <t>(2e tour)</t>
  </si>
  <si>
    <t>Partie majoritaire</t>
  </si>
  <si>
    <t>Partie proportionnelle</t>
  </si>
  <si>
    <t> % des voix</t>
  </si>
  <si>
    <t>Nbre de voix</t>
  </si>
  <si>
    <t>Nombre (prop)</t>
  </si>
  <si>
    <t>Sièges (total)</t>
  </si>
  <si>
    <t>Députés de liste</t>
  </si>
  <si>
    <t>Députés de circonscription</t>
  </si>
  <si>
    <t>Sièges (total ajusté)</t>
  </si>
  <si>
    <t>A</t>
  </si>
  <si>
    <t>B</t>
  </si>
  <si>
    <t>C</t>
  </si>
  <si>
    <t>Scrutin proportionnel</t>
  </si>
  <si>
    <t>Mixte parallèle</t>
  </si>
  <si>
    <t>Mixte compensatoire</t>
  </si>
  <si>
    <t xml:space="preserve">Nombre de sièges: </t>
  </si>
  <si>
    <t>liste arrondi</t>
  </si>
  <si>
    <t>total</t>
  </si>
  <si>
    <t>parti</t>
  </si>
  <si>
    <t>circons</t>
  </si>
  <si>
    <t>circonsc</t>
  </si>
  <si>
    <t>Nombre de voix</t>
  </si>
  <si>
    <t>nb voix</t>
  </si>
  <si>
    <t>Nombre de sièges</t>
  </si>
  <si>
    <t>Pourcentage de sièges</t>
  </si>
  <si>
    <t>Partis politiques</t>
  </si>
  <si>
    <t>Écrivez les noms de vos partis politiques</t>
  </si>
  <si>
    <t>Circonscriptions</t>
  </si>
  <si>
    <t>Écrivez les noms des circonscriptions</t>
  </si>
  <si>
    <t>Rg</t>
  </si>
  <si>
    <t>Eg</t>
  </si>
  <si>
    <t>Rg Eg</t>
  </si>
  <si>
    <t>max</t>
  </si>
  <si>
    <t>min</t>
  </si>
  <si>
    <t>nb.si</t>
  </si>
  <si>
    <t>Eg max</t>
  </si>
  <si>
    <t>nb voix ég</t>
  </si>
  <si>
    <t>rg</t>
  </si>
  <si>
    <t>rg2</t>
  </si>
  <si>
    <t>sg</t>
  </si>
  <si>
    <t>Somme</t>
  </si>
  <si>
    <t>sg (tot)</t>
  </si>
  <si>
    <t>sg (ajust)</t>
  </si>
  <si>
    <t>liste</t>
  </si>
  <si>
    <t>Mixte parallalèle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</si>
</sst>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)\ _$_ ;_ * \(#,##0.00\)\ _$_ ;_ * &quot;-&quot;??_)\ _$_ ;_ @_ 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3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3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0" fillId="2" borderId="0" xfId="0" applyFill="1"/>
    <xf numFmtId="0" fontId="2" fillId="2" borderId="14" xfId="0" applyFont="1" applyFill="1" applyBorder="1"/>
    <xf numFmtId="0" fontId="2" fillId="2" borderId="13" xfId="0" applyFont="1" applyFill="1" applyBorder="1"/>
    <xf numFmtId="0" fontId="0" fillId="2" borderId="0" xfId="0" applyFill="1" applyAlignment="1">
      <alignment vertical="center"/>
    </xf>
    <xf numFmtId="10" fontId="0" fillId="2" borderId="0" xfId="1" applyNumberFormat="1" applyFont="1" applyFill="1" applyAlignment="1">
      <alignment vertical="center"/>
    </xf>
    <xf numFmtId="0" fontId="3" fillId="2" borderId="12" xfId="0" applyFont="1" applyFill="1" applyBorder="1"/>
    <xf numFmtId="0" fontId="3" fillId="2" borderId="13" xfId="0" applyFont="1" applyFill="1" applyBorder="1"/>
    <xf numFmtId="10" fontId="2" fillId="2" borderId="4" xfId="1" applyNumberFormat="1" applyFont="1" applyFill="1" applyBorder="1" applyAlignment="1">
      <alignment horizontal="center"/>
    </xf>
    <xf numFmtId="10" fontId="2" fillId="2" borderId="5" xfId="1" applyNumberFormat="1" applyFont="1" applyFill="1" applyBorder="1" applyAlignment="1">
      <alignment horizontal="center"/>
    </xf>
    <xf numFmtId="10" fontId="2" fillId="2" borderId="6" xfId="1" applyNumberFormat="1" applyFont="1" applyFill="1" applyBorder="1" applyAlignment="1">
      <alignment horizontal="center"/>
    </xf>
    <xf numFmtId="10" fontId="2" fillId="2" borderId="8" xfId="1" applyNumberFormat="1" applyFont="1" applyFill="1" applyBorder="1" applyAlignment="1">
      <alignment horizontal="center"/>
    </xf>
    <xf numFmtId="0" fontId="4" fillId="2" borderId="0" xfId="0" applyFont="1" applyFill="1"/>
    <xf numFmtId="0" fontId="5" fillId="2" borderId="1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11" fontId="6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12" xfId="0" applyFont="1" applyFill="1" applyBorder="1" applyAlignment="1">
      <alignment vertical="center"/>
    </xf>
    <xf numFmtId="11" fontId="6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11" fontId="6" fillId="2" borderId="13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10" fontId="5" fillId="2" borderId="0" xfId="1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0" fontId="5" fillId="2" borderId="5" xfId="1" applyNumberFormat="1" applyFont="1" applyFill="1" applyBorder="1" applyAlignment="1">
      <alignment horizontal="center" vertical="center"/>
    </xf>
    <xf numFmtId="10" fontId="5" fillId="2" borderId="8" xfId="1" applyNumberFormat="1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5" fillId="2" borderId="8" xfId="1" applyNumberFormat="1" applyFont="1" applyFill="1" applyBorder="1" applyAlignment="1">
      <alignment horizontal="center" vertical="center"/>
    </xf>
    <xf numFmtId="10" fontId="5" fillId="2" borderId="0" xfId="1" applyNumberFormat="1" applyFont="1" applyFill="1" applyBorder="1" applyAlignment="1">
      <alignment horizontal="center" vertical="center"/>
    </xf>
    <xf numFmtId="10" fontId="5" fillId="2" borderId="7" xfId="1" applyNumberFormat="1" applyFont="1" applyFill="1" applyBorder="1" applyAlignment="1">
      <alignment horizontal="center" vertical="center"/>
    </xf>
    <xf numFmtId="10" fontId="5" fillId="2" borderId="15" xfId="1" applyNumberFormat="1" applyFont="1" applyFill="1" applyBorder="1" applyAlignment="1">
      <alignment horizontal="center" vertical="center"/>
    </xf>
    <xf numFmtId="10" fontId="5" fillId="2" borderId="3" xfId="1" applyNumberFormat="1" applyFont="1" applyFill="1" applyBorder="1" applyAlignment="1">
      <alignment horizontal="center" vertical="center"/>
    </xf>
    <xf numFmtId="0" fontId="5" fillId="2" borderId="15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5" fillId="2" borderId="7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0" fontId="0" fillId="2" borderId="0" xfId="0" applyNumberFormat="1" applyFill="1" applyAlignment="1">
      <alignment vertical="center"/>
    </xf>
    <xf numFmtId="0" fontId="0" fillId="2" borderId="2" xfId="0" applyFill="1" applyBorder="1"/>
    <xf numFmtId="0" fontId="0" fillId="2" borderId="15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5" xfId="0" applyFill="1" applyBorder="1"/>
    <xf numFmtId="164" fontId="0" fillId="2" borderId="0" xfId="1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2" applyNumberFormat="1" applyFont="1" applyFill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/>
    </xf>
    <xf numFmtId="0" fontId="5" fillId="2" borderId="4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10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0" fontId="0" fillId="2" borderId="0" xfId="1" applyNumberFormat="1" applyFont="1" applyFill="1" applyAlignment="1">
      <alignment horizontal="center" vertical="center"/>
    </xf>
    <xf numFmtId="0" fontId="0" fillId="2" borderId="0" xfId="1" applyNumberFormat="1" applyFont="1" applyFill="1" applyAlignment="1">
      <alignment horizontal="center" vertical="center"/>
    </xf>
    <xf numFmtId="164" fontId="0" fillId="2" borderId="0" xfId="1" applyNumberFormat="1" applyFont="1" applyFill="1" applyAlignment="1">
      <alignment horizontal="center" vertical="center"/>
    </xf>
    <xf numFmtId="0" fontId="10" fillId="2" borderId="0" xfId="1" applyNumberFormat="1" applyFont="1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10" fontId="0" fillId="2" borderId="16" xfId="1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vertical="center" wrapText="1"/>
    </xf>
    <xf numFmtId="0" fontId="4" fillId="2" borderId="15" xfId="0" applyFont="1" applyFill="1" applyBorder="1"/>
    <xf numFmtId="0" fontId="0" fillId="2" borderId="4" xfId="0" applyFill="1" applyBorder="1"/>
    <xf numFmtId="0" fontId="4" fillId="2" borderId="0" xfId="0" applyFont="1" applyFill="1" applyBorder="1"/>
    <xf numFmtId="0" fontId="8" fillId="2" borderId="0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7" fillId="2" borderId="0" xfId="0" applyFont="1" applyFill="1" applyBorder="1"/>
    <xf numFmtId="0" fontId="9" fillId="2" borderId="5" xfId="0" applyFont="1" applyFill="1" applyBorder="1" applyAlignment="1">
      <alignment vertical="center"/>
    </xf>
    <xf numFmtId="0" fontId="0" fillId="2" borderId="0" xfId="0" applyNumberForma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0" fontId="0" fillId="4" borderId="26" xfId="0" applyFill="1" applyBorder="1" applyAlignment="1">
      <alignment vertical="center"/>
    </xf>
    <xf numFmtId="0" fontId="0" fillId="2" borderId="28" xfId="0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10" fillId="2" borderId="5" xfId="1" applyNumberFormat="1" applyFont="1" applyFill="1" applyBorder="1" applyAlignment="1">
      <alignment vertical="center"/>
    </xf>
    <xf numFmtId="10" fontId="5" fillId="2" borderId="5" xfId="1" applyNumberFormat="1" applyFont="1" applyFill="1" applyBorder="1" applyAlignment="1">
      <alignment vertical="center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horizontal="left"/>
    </xf>
    <xf numFmtId="0" fontId="13" fillId="3" borderId="0" xfId="0" applyFont="1" applyFill="1"/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10" fontId="0" fillId="2" borderId="0" xfId="0" applyNumberForma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Milliers" xfId="2" builtinId="3"/>
    <cellStyle name="Normal" xfId="0" builtinId="0"/>
    <cellStyle name="Pourcentage" xfId="1" builtinId="5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1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riel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tabSelected="1" workbookViewId="0">
      <selection activeCell="C17" sqref="C17"/>
    </sheetView>
  </sheetViews>
  <sheetFormatPr baseColWidth="10" defaultRowHeight="15" x14ac:dyDescent="0.25"/>
  <cols>
    <col min="1" max="1" width="7.42578125" style="1" customWidth="1"/>
    <col min="2" max="2" width="5.7109375" style="1" customWidth="1"/>
    <col min="3" max="3" width="21.42578125" style="1" customWidth="1"/>
    <col min="4" max="6" width="26.140625" style="1" customWidth="1"/>
    <col min="7" max="16384" width="11.42578125" style="1"/>
  </cols>
  <sheetData>
    <row r="2" spans="2:5" ht="18.75" x14ac:dyDescent="0.3">
      <c r="B2" s="128" t="s">
        <v>47</v>
      </c>
      <c r="C2" s="129"/>
      <c r="D2" s="129"/>
      <c r="E2" s="129"/>
    </row>
    <row r="3" spans="2:5" ht="18.75" x14ac:dyDescent="0.3">
      <c r="B3" s="129" t="s">
        <v>48</v>
      </c>
      <c r="C3" s="129"/>
      <c r="D3" s="129"/>
      <c r="E3" s="129"/>
    </row>
    <row r="4" spans="2:5" ht="18.75" x14ac:dyDescent="0.3">
      <c r="B4" s="130">
        <v>1</v>
      </c>
      <c r="C4" s="131" t="s">
        <v>0</v>
      </c>
      <c r="D4" s="129"/>
      <c r="E4" s="129"/>
    </row>
    <row r="5" spans="2:5" ht="18.75" x14ac:dyDescent="0.3">
      <c r="B5" s="130">
        <v>2</v>
      </c>
      <c r="C5" s="131" t="s">
        <v>1</v>
      </c>
      <c r="D5" s="129"/>
      <c r="E5" s="129"/>
    </row>
    <row r="6" spans="2:5" ht="18.75" x14ac:dyDescent="0.3">
      <c r="B6" s="130">
        <v>3</v>
      </c>
      <c r="C6" s="131" t="s">
        <v>2</v>
      </c>
      <c r="D6" s="129"/>
      <c r="E6" s="129"/>
    </row>
    <row r="7" spans="2:5" ht="18.75" x14ac:dyDescent="0.3">
      <c r="B7" s="129"/>
      <c r="C7" s="129"/>
      <c r="D7" s="129"/>
      <c r="E7" s="129"/>
    </row>
    <row r="8" spans="2:5" ht="18.75" x14ac:dyDescent="0.3">
      <c r="B8" s="128" t="s">
        <v>49</v>
      </c>
      <c r="C8" s="129"/>
      <c r="D8" s="129"/>
      <c r="E8" s="129"/>
    </row>
    <row r="9" spans="2:5" ht="18.75" x14ac:dyDescent="0.3">
      <c r="B9" s="129" t="s">
        <v>50</v>
      </c>
      <c r="C9" s="129"/>
      <c r="D9" s="129"/>
      <c r="E9" s="129"/>
    </row>
    <row r="10" spans="2:5" ht="18.75" x14ac:dyDescent="0.3">
      <c r="B10" s="129"/>
      <c r="C10" s="129"/>
    </row>
    <row r="11" spans="2:5" ht="18.75" x14ac:dyDescent="0.3">
      <c r="B11" s="130">
        <v>1</v>
      </c>
      <c r="C11" s="131">
        <v>1</v>
      </c>
    </row>
    <row r="12" spans="2:5" ht="18.75" x14ac:dyDescent="0.3">
      <c r="B12" s="130">
        <v>2</v>
      </c>
      <c r="C12" s="131">
        <v>2</v>
      </c>
    </row>
    <row r="13" spans="2:5" ht="18.75" x14ac:dyDescent="0.3">
      <c r="B13" s="130">
        <v>3</v>
      </c>
      <c r="C13" s="131">
        <v>3</v>
      </c>
    </row>
    <row r="14" spans="2:5" ht="18.75" x14ac:dyDescent="0.3">
      <c r="B14" s="130">
        <v>4</v>
      </c>
      <c r="C14" s="131">
        <v>4</v>
      </c>
    </row>
    <row r="15" spans="2:5" ht="18.75" x14ac:dyDescent="0.3">
      <c r="B15" s="130">
        <v>5</v>
      </c>
      <c r="C15" s="131">
        <v>5</v>
      </c>
    </row>
    <row r="16" spans="2:5" ht="18.75" x14ac:dyDescent="0.3">
      <c r="B16" s="130">
        <v>6</v>
      </c>
      <c r="C16" s="131">
        <v>6</v>
      </c>
    </row>
    <row r="17" spans="2:3" ht="18.75" x14ac:dyDescent="0.3">
      <c r="B17" s="130">
        <v>7</v>
      </c>
      <c r="C17" s="131">
        <v>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23"/>
  <sheetViews>
    <sheetView zoomScaleNormal="100" workbookViewId="0">
      <selection activeCell="E9" sqref="E9"/>
    </sheetView>
  </sheetViews>
  <sheetFormatPr baseColWidth="10" defaultRowHeight="15" x14ac:dyDescent="0.25"/>
  <cols>
    <col min="1" max="1" width="2.7109375" style="106" customWidth="1"/>
    <col min="2" max="2" width="11.42578125" style="106" customWidth="1"/>
    <col min="3" max="3" width="29" style="106" customWidth="1"/>
    <col min="4" max="6" width="14.42578125" style="106" customWidth="1"/>
    <col min="7" max="9" width="26.140625" style="106" customWidth="1"/>
    <col min="10" max="10" width="24.140625" style="106" customWidth="1"/>
    <col min="11" max="11" width="11.42578125" style="106" customWidth="1"/>
    <col min="12" max="16" width="12.85546875" style="106" hidden="1" customWidth="1"/>
    <col min="17" max="21" width="11.42578125" style="106" hidden="1" customWidth="1"/>
    <col min="22" max="38" width="0" style="106" hidden="1" customWidth="1"/>
    <col min="39" max="16384" width="11.42578125" style="106"/>
  </cols>
  <sheetData>
    <row r="1" spans="2:38" ht="7.5" customHeight="1" thickBot="1" x14ac:dyDescent="0.3"/>
    <row r="2" spans="2:38" s="105" customFormat="1" ht="45" customHeight="1" x14ac:dyDescent="0.65">
      <c r="B2" s="46"/>
      <c r="C2" s="90" t="s">
        <v>18</v>
      </c>
      <c r="D2" s="47"/>
      <c r="E2" s="47"/>
      <c r="F2" s="47"/>
      <c r="G2" s="47"/>
      <c r="H2" s="47"/>
      <c r="I2" s="47"/>
      <c r="J2" s="47"/>
      <c r="K2" s="4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105" customFormat="1" ht="45" customHeight="1" x14ac:dyDescent="0.65">
      <c r="B3" s="91"/>
      <c r="C3" s="92" t="s">
        <v>19</v>
      </c>
      <c r="D3" s="49"/>
      <c r="E3" s="49"/>
      <c r="F3" s="49"/>
      <c r="G3" s="49"/>
      <c r="H3" s="49"/>
      <c r="I3" s="49"/>
      <c r="J3" s="49"/>
      <c r="K3" s="5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2:38" s="105" customFormat="1" ht="22.5" customHeight="1" thickBot="1" x14ac:dyDescent="0.3">
      <c r="B4" s="91"/>
      <c r="C4" s="93" t="s">
        <v>37</v>
      </c>
      <c r="D4" s="93">
        <f>COUNT(B6:B12)</f>
        <v>7</v>
      </c>
      <c r="E4" s="49"/>
      <c r="F4" s="49"/>
      <c r="G4" s="49"/>
      <c r="H4" s="49"/>
      <c r="I4" s="93"/>
      <c r="J4" s="93"/>
      <c r="K4" s="9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2:38" ht="29.25" thickBot="1" x14ac:dyDescent="0.3">
      <c r="B5" s="95"/>
      <c r="C5" s="13"/>
      <c r="D5" s="14" t="str">
        <f>PA</f>
        <v>Parti A</v>
      </c>
      <c r="E5" s="14" t="str">
        <f>PB</f>
        <v>Parti B</v>
      </c>
      <c r="F5" s="14" t="str">
        <f>PC</f>
        <v>Parti C</v>
      </c>
      <c r="G5" s="15" t="s">
        <v>6</v>
      </c>
      <c r="H5" s="96"/>
      <c r="I5" s="96"/>
      <c r="J5" s="96"/>
      <c r="K5" s="97"/>
      <c r="L5" s="81" t="str">
        <f>PA</f>
        <v>Parti A</v>
      </c>
      <c r="M5" s="81" t="str">
        <f>PB</f>
        <v>Parti B</v>
      </c>
      <c r="N5" s="81" t="str">
        <f>PC</f>
        <v>Parti C</v>
      </c>
      <c r="O5" s="81" t="s">
        <v>59</v>
      </c>
      <c r="P5" s="81" t="s">
        <v>60</v>
      </c>
      <c r="Q5" s="81" t="s">
        <v>40</v>
      </c>
      <c r="R5" s="81" t="s">
        <v>61</v>
      </c>
      <c r="S5" s="81" t="s">
        <v>17</v>
      </c>
      <c r="T5" s="81" t="s">
        <v>44</v>
      </c>
      <c r="U5" s="81" t="s">
        <v>16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2:38" ht="28.5" x14ac:dyDescent="0.25">
      <c r="B6" s="98">
        <f>IF(C6=0,"",1)</f>
        <v>1</v>
      </c>
      <c r="C6" s="17">
        <f>CA</f>
        <v>1</v>
      </c>
      <c r="D6" s="135"/>
      <c r="E6" s="136"/>
      <c r="F6" s="141"/>
      <c r="G6" s="18" t="str">
        <f>IF(F6="","",IF(D6=MAX(D6:F6),IF(OR(D6=E6,D6=F6),"Égalité","Parti A"),IF(E6=MAX(D6:F6),IF(OR(E6=D6,E6=F6),"Égalité","Parti B"),IF(F6=MAX(D6:F6),IF(OR(F6=E6,F6=D6),"Égalité","Parti C")))))</f>
        <v/>
      </c>
      <c r="H6" s="99"/>
      <c r="I6" s="96"/>
      <c r="J6" s="96"/>
      <c r="K6" s="97"/>
      <c r="L6" s="84" t="e">
        <f>D6/SUM($D6:$F6)</f>
        <v>#DIV/0!</v>
      </c>
      <c r="M6" s="84" t="e">
        <f>E6/SUM($D6:$F6)</f>
        <v>#DIV/0!</v>
      </c>
      <c r="N6" s="84" t="e">
        <f>F6/SUM($D6:$F6)</f>
        <v>#DIV/0!</v>
      </c>
      <c r="O6" s="83" t="e">
        <f>RANK(R6,$R$6:$R$8)</f>
        <v>#VALUE!</v>
      </c>
      <c r="P6" s="83" t="e">
        <f>AL16</f>
        <v>#VALUE!</v>
      </c>
      <c r="Q6" s="81" t="str">
        <f>PA</f>
        <v>Parti A</v>
      </c>
      <c r="R6" s="81" t="str">
        <f>IF(S9=0,"",COUNTIF($G$6:$G$12,Q6))</f>
        <v/>
      </c>
      <c r="S6" s="82" t="str">
        <f>IF(S9=0,"",R6/SUM($R$6:$R$8))</f>
        <v/>
      </c>
      <c r="T6" s="81" t="str">
        <f>IF($S$9=0,"",SUM(D6:D12))</f>
        <v/>
      </c>
      <c r="U6" s="82" t="str">
        <f>IF(S9=0,"",SUM(D6:D12)/S9)</f>
        <v/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2:38" ht="28.5" x14ac:dyDescent="0.25">
      <c r="B7" s="98">
        <f t="shared" ref="B7:B12" si="0">IF(C7=0,"",1)</f>
        <v>1</v>
      </c>
      <c r="C7" s="17">
        <f>CB</f>
        <v>2</v>
      </c>
      <c r="D7" s="138"/>
      <c r="E7" s="61"/>
      <c r="F7" s="137"/>
      <c r="G7" s="18" t="str">
        <f t="shared" ref="G7:G12" si="1">IF(F7="","",IF(D7=MAX(D7:F7),IF(OR(D7=E7,D7=F7),"Égalité","Parti A"),IF(E7=MAX(D7:F7),IF(OR(E7=D7,E7=F7),"Égalité","Parti B"),IF(F7=MAX(D7:F7),IF(OR(F7=E7,F7=D7),"Égalité","Parti C")))))</f>
        <v/>
      </c>
      <c r="H7" s="96"/>
      <c r="I7" s="96"/>
      <c r="J7" s="96"/>
      <c r="K7" s="97"/>
      <c r="L7" s="84" t="e">
        <f t="shared" ref="L7:L12" si="2">D7/SUM($D7:$F7)</f>
        <v>#DIV/0!</v>
      </c>
      <c r="M7" s="84" t="e">
        <f t="shared" ref="M7:M12" si="3">E7/SUM($D7:$F7)</f>
        <v>#DIV/0!</v>
      </c>
      <c r="N7" s="84" t="e">
        <f t="shared" ref="N7:N12" si="4">F7/SUM($D7:$F7)</f>
        <v>#DIV/0!</v>
      </c>
      <c r="O7" s="83" t="e">
        <f>RANK(R7,$R$6:$R$8)</f>
        <v>#VALUE!</v>
      </c>
      <c r="P7" s="83" t="e">
        <f t="shared" ref="P7:P8" si="5">AL17</f>
        <v>#VALUE!</v>
      </c>
      <c r="Q7" s="81" t="str">
        <f>PB</f>
        <v>Parti B</v>
      </c>
      <c r="R7" s="81" t="str">
        <f>IF(S9=0,"",COUNTIF($G$6:$G$12,Q7))</f>
        <v/>
      </c>
      <c r="S7" s="82" t="str">
        <f>IF(S9=0,"",R7/SUM($R$6:$R$8))</f>
        <v/>
      </c>
      <c r="T7" s="81" t="str">
        <f>IF($S$9=0,"",SUM(E6:E12))</f>
        <v/>
      </c>
      <c r="U7" s="82" t="str">
        <f>IF(S9=0,"",SUM(E6:E12)/S9)</f>
        <v/>
      </c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2:38" ht="28.5" x14ac:dyDescent="0.25">
      <c r="B8" s="98">
        <f t="shared" si="0"/>
        <v>1</v>
      </c>
      <c r="C8" s="17">
        <f>CC</f>
        <v>3</v>
      </c>
      <c r="D8" s="138"/>
      <c r="E8" s="61"/>
      <c r="F8" s="137"/>
      <c r="G8" s="18" t="str">
        <f t="shared" si="1"/>
        <v/>
      </c>
      <c r="H8" s="96"/>
      <c r="I8" s="96"/>
      <c r="J8" s="96"/>
      <c r="K8" s="97"/>
      <c r="L8" s="84" t="e">
        <f t="shared" si="2"/>
        <v>#DIV/0!</v>
      </c>
      <c r="M8" s="84" t="e">
        <f t="shared" si="3"/>
        <v>#DIV/0!</v>
      </c>
      <c r="N8" s="84" t="e">
        <f t="shared" si="4"/>
        <v>#DIV/0!</v>
      </c>
      <c r="O8" s="83" t="e">
        <f>RANK(R8,$R$6:$R$8)</f>
        <v>#VALUE!</v>
      </c>
      <c r="P8" s="83" t="e">
        <f t="shared" si="5"/>
        <v>#VALUE!</v>
      </c>
      <c r="Q8" s="81" t="str">
        <f>PC</f>
        <v>Parti C</v>
      </c>
      <c r="R8" s="81" t="str">
        <f>IF(S9=0,"",COUNTIF($G$6:$G$12,Q8))</f>
        <v/>
      </c>
      <c r="S8" s="82" t="str">
        <f>IF(S9=0,"",R8/SUM($R$6:$R$8))</f>
        <v/>
      </c>
      <c r="T8" s="81" t="str">
        <f>IF($S$9=0,"",SUM(F6:F12))</f>
        <v/>
      </c>
      <c r="U8" s="82" t="str">
        <f>IF(S9=0,"",SUM($F$6:$F$12)/$S$9)</f>
        <v/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2:38" ht="28.5" x14ac:dyDescent="0.25">
      <c r="B9" s="98">
        <f t="shared" si="0"/>
        <v>1</v>
      </c>
      <c r="C9" s="17">
        <f>CD</f>
        <v>4</v>
      </c>
      <c r="D9" s="138"/>
      <c r="E9" s="61"/>
      <c r="F9" s="137"/>
      <c r="G9" s="18" t="str">
        <f t="shared" si="1"/>
        <v/>
      </c>
      <c r="H9" s="96"/>
      <c r="I9" s="96"/>
      <c r="J9" s="96"/>
      <c r="K9" s="97"/>
      <c r="L9" s="84" t="e">
        <f t="shared" si="2"/>
        <v>#DIV/0!</v>
      </c>
      <c r="M9" s="84" t="e">
        <f t="shared" si="3"/>
        <v>#DIV/0!</v>
      </c>
      <c r="N9" s="84" t="e">
        <f t="shared" si="4"/>
        <v>#DIV/0!</v>
      </c>
      <c r="O9" s="84"/>
      <c r="P9" s="84"/>
      <c r="Q9" s="81"/>
      <c r="R9" s="81" t="s">
        <v>10</v>
      </c>
      <c r="S9" s="81">
        <f>SUM(D6:F12)</f>
        <v>0</v>
      </c>
      <c r="T9" s="81"/>
      <c r="U9" s="81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2:38" ht="28.5" x14ac:dyDescent="0.25">
      <c r="B10" s="98">
        <f t="shared" si="0"/>
        <v>1</v>
      </c>
      <c r="C10" s="17">
        <f>CE</f>
        <v>5</v>
      </c>
      <c r="D10" s="138"/>
      <c r="E10" s="61"/>
      <c r="F10" s="137"/>
      <c r="G10" s="18" t="str">
        <f t="shared" si="1"/>
        <v/>
      </c>
      <c r="H10" s="96"/>
      <c r="I10" s="96"/>
      <c r="J10" s="96"/>
      <c r="K10" s="97"/>
      <c r="L10" s="84" t="e">
        <f t="shared" si="2"/>
        <v>#DIV/0!</v>
      </c>
      <c r="M10" s="84" t="e">
        <f t="shared" si="3"/>
        <v>#DIV/0!</v>
      </c>
      <c r="N10" s="84" t="e">
        <f t="shared" si="4"/>
        <v>#DIV/0!</v>
      </c>
      <c r="O10" s="84"/>
      <c r="P10" s="84"/>
      <c r="Q10" s="81"/>
      <c r="R10" s="81"/>
      <c r="S10" s="81"/>
      <c r="T10" s="81"/>
      <c r="U10" s="81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2:38" ht="28.5" x14ac:dyDescent="0.25">
      <c r="B11" s="98">
        <f t="shared" si="0"/>
        <v>1</v>
      </c>
      <c r="C11" s="17">
        <f>CF</f>
        <v>6</v>
      </c>
      <c r="D11" s="138"/>
      <c r="E11" s="61"/>
      <c r="F11" s="137"/>
      <c r="G11" s="18" t="str">
        <f t="shared" si="1"/>
        <v/>
      </c>
      <c r="H11" s="96"/>
      <c r="I11" s="96"/>
      <c r="J11" s="96"/>
      <c r="K11" s="97"/>
      <c r="L11" s="84" t="e">
        <f t="shared" si="2"/>
        <v>#DIV/0!</v>
      </c>
      <c r="M11" s="84" t="e">
        <f t="shared" si="3"/>
        <v>#DIV/0!</v>
      </c>
      <c r="N11" s="84" t="e">
        <f t="shared" si="4"/>
        <v>#DIV/0!</v>
      </c>
      <c r="O11" s="84"/>
      <c r="P11" s="84"/>
      <c r="Q11" s="81"/>
      <c r="R11" s="81"/>
      <c r="S11" s="81"/>
      <c r="T11" s="81"/>
      <c r="U11" s="81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2:38" ht="29.25" thickBot="1" x14ac:dyDescent="0.3">
      <c r="B12" s="98">
        <f t="shared" si="0"/>
        <v>1</v>
      </c>
      <c r="C12" s="19">
        <f>CG</f>
        <v>7</v>
      </c>
      <c r="D12" s="139"/>
      <c r="E12" s="62"/>
      <c r="F12" s="140"/>
      <c r="G12" s="20" t="str">
        <f t="shared" si="1"/>
        <v/>
      </c>
      <c r="H12" s="96"/>
      <c r="I12" s="96"/>
      <c r="J12" s="96"/>
      <c r="K12" s="97"/>
      <c r="L12" s="84" t="e">
        <f t="shared" si="2"/>
        <v>#DIV/0!</v>
      </c>
      <c r="M12" s="84" t="e">
        <f t="shared" si="3"/>
        <v>#DIV/0!</v>
      </c>
      <c r="N12" s="84" t="e">
        <f t="shared" si="4"/>
        <v>#DIV/0!</v>
      </c>
      <c r="O12" s="84"/>
      <c r="P12" s="84"/>
      <c r="Q12" s="81"/>
      <c r="R12" s="81"/>
      <c r="S12" s="81"/>
      <c r="T12" s="81"/>
      <c r="U12" s="81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2:38" ht="18" customHeight="1" thickBot="1" x14ac:dyDescent="0.3">
      <c r="B13" s="95"/>
      <c r="C13" s="96"/>
      <c r="D13" s="96"/>
      <c r="E13" s="96"/>
      <c r="F13" s="96"/>
      <c r="G13" s="96"/>
      <c r="H13" s="96"/>
      <c r="I13" s="96"/>
      <c r="J13" s="96"/>
      <c r="K13" s="97"/>
      <c r="L13" s="16"/>
      <c r="M13" s="16"/>
      <c r="N13" s="16"/>
      <c r="O13" s="16"/>
      <c r="P13" s="16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2:38" ht="57.75" thickBot="1" x14ac:dyDescent="0.3">
      <c r="B14" s="95"/>
      <c r="C14" s="13"/>
      <c r="D14" s="151" t="s">
        <v>11</v>
      </c>
      <c r="E14" s="152"/>
      <c r="F14" s="152"/>
      <c r="G14" s="27" t="s">
        <v>7</v>
      </c>
      <c r="H14" s="27" t="s">
        <v>9</v>
      </c>
      <c r="I14" s="27" t="s">
        <v>43</v>
      </c>
      <c r="J14" s="28" t="s">
        <v>8</v>
      </c>
      <c r="K14" s="100"/>
      <c r="L14" s="16"/>
      <c r="M14" s="16"/>
      <c r="N14" s="16"/>
      <c r="O14" s="16"/>
      <c r="P14" s="16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2:38" ht="29.25" customHeight="1" thickBot="1" x14ac:dyDescent="0.3">
      <c r="B15" s="95"/>
      <c r="C15" s="21" t="str">
        <f>IF(AND(G15&lt;&gt;0,$G$15=$G$16),"Égalité","Gouvernement")</f>
        <v>Égalité</v>
      </c>
      <c r="D15" s="145" t="str">
        <f>IFERROR(VLOOKUP($L16,$P$6:$U$8,2,FALSE),"")</f>
        <v/>
      </c>
      <c r="E15" s="146"/>
      <c r="F15" s="146"/>
      <c r="G15" s="58" t="str">
        <f>IFERROR(VLOOKUP($L16,$P$6:$U$8,3,FALSE),"")</f>
        <v/>
      </c>
      <c r="H15" s="34" t="str">
        <f>IFERROR(VLOOKUP($L16,$P$6:$U$8,4,FALSE),"")</f>
        <v/>
      </c>
      <c r="I15" s="39" t="str">
        <f>IFERROR(VLOOKUP($L16,$P$6:$U$8,5,FALSE),"")</f>
        <v/>
      </c>
      <c r="J15" s="29" t="str">
        <f>IFERROR(VLOOKUP($L16,$P$6:$U$8,6,FALSE),"")</f>
        <v/>
      </c>
      <c r="K15" s="29"/>
      <c r="L15" s="24"/>
      <c r="M15" s="24"/>
      <c r="N15" s="24"/>
      <c r="O15" s="24"/>
      <c r="P15" s="24"/>
      <c r="Q15" s="24"/>
      <c r="R15" s="4"/>
      <c r="S15" s="4"/>
      <c r="T15" s="70" t="s">
        <v>51</v>
      </c>
      <c r="U15" s="71" t="s">
        <v>52</v>
      </c>
      <c r="V15" s="71" t="s">
        <v>53</v>
      </c>
      <c r="W15" s="71" t="s">
        <v>54</v>
      </c>
      <c r="X15" s="71" t="s">
        <v>55</v>
      </c>
      <c r="Y15" s="71" t="s">
        <v>56</v>
      </c>
      <c r="Z15" s="71" t="s">
        <v>44</v>
      </c>
      <c r="AA15" s="71" t="s">
        <v>57</v>
      </c>
      <c r="AB15" s="72" t="s">
        <v>58</v>
      </c>
      <c r="AC15" s="70" t="s">
        <v>51</v>
      </c>
      <c r="AD15" s="71" t="s">
        <v>52</v>
      </c>
      <c r="AE15" s="71" t="s">
        <v>53</v>
      </c>
      <c r="AF15" s="71" t="s">
        <v>54</v>
      </c>
      <c r="AG15" s="71" t="s">
        <v>55</v>
      </c>
      <c r="AH15" s="71" t="s">
        <v>56</v>
      </c>
      <c r="AI15" s="71" t="s">
        <v>44</v>
      </c>
      <c r="AJ15" s="71" t="s">
        <v>57</v>
      </c>
      <c r="AK15" s="72" t="s">
        <v>58</v>
      </c>
      <c r="AL15" s="73" t="s">
        <v>51</v>
      </c>
    </row>
    <row r="16" spans="2:38" ht="29.25" customHeight="1" x14ac:dyDescent="0.25">
      <c r="B16" s="95"/>
      <c r="C16" s="21" t="str">
        <f>IF(AND(G16&lt;&gt;0,$G$15=$G$16),"Égalité",IF(G16=G17,"Égalité","Opposition"))</f>
        <v>Égalité</v>
      </c>
      <c r="D16" s="147" t="str">
        <f t="shared" ref="D16:D17" si="6">IFERROR(VLOOKUP($L17,$P$6:$U$8,2,FALSE),"")</f>
        <v/>
      </c>
      <c r="E16" s="148"/>
      <c r="F16" s="148"/>
      <c r="G16" s="58" t="str">
        <f t="shared" ref="G16:G17" si="7">IFERROR(VLOOKUP($L17,$P$6:$U$8,3,FALSE),"")</f>
        <v/>
      </c>
      <c r="H16" s="34" t="str">
        <f t="shared" ref="H16:H17" si="8">IFERROR(VLOOKUP($L17,$P$6:$U$8,4,FALSE),"")</f>
        <v/>
      </c>
      <c r="I16" s="39" t="str">
        <f t="shared" ref="I16:I17" si="9">IFERROR(VLOOKUP($L17,$P$6:$U$8,5,FALSE),"")</f>
        <v/>
      </c>
      <c r="J16" s="29" t="str">
        <f t="shared" ref="J16:J17" si="10">IFERROR(VLOOKUP($L17,$P$6:$U$8,6,FALSE),"")</f>
        <v/>
      </c>
      <c r="K16" s="29"/>
      <c r="L16" s="80">
        <v>1</v>
      </c>
      <c r="M16" s="34"/>
      <c r="N16" s="34"/>
      <c r="O16" s="34"/>
      <c r="P16" s="34"/>
      <c r="Q16" s="34"/>
      <c r="R16" s="4"/>
      <c r="S16" s="4"/>
      <c r="T16" s="67" t="e">
        <f>O6</f>
        <v>#VALUE!</v>
      </c>
      <c r="U16" s="68" t="e">
        <f>IF(OR(T16=T17,T16=T18),"Égalité","")</f>
        <v>#VALUE!</v>
      </c>
      <c r="V16" s="68" t="e">
        <f>IF(U16="Égalité",T16,"")</f>
        <v>#VALUE!</v>
      </c>
      <c r="W16" s="68" t="e">
        <f>IF(U16="Égalité",MAX(V$16:V$18),"")</f>
        <v>#VALUE!</v>
      </c>
      <c r="X16" s="68" t="e">
        <f>IF(U16="Égalité",MIN(V$16:V$18),"")</f>
        <v>#VALUE!</v>
      </c>
      <c r="Y16" s="68">
        <f>COUNTIF(T$16:T$18,T16)</f>
        <v>3</v>
      </c>
      <c r="Z16" s="68" t="str">
        <f>$T6</f>
        <v/>
      </c>
      <c r="AA16" s="68" t="e">
        <f>IF(U16="Égalité",IF(T16=W16,"Égalité",""),"")</f>
        <v>#VALUE!</v>
      </c>
      <c r="AB16" s="69" t="e">
        <f>IF(U16="Égalité",IF(T16=W16,Z16,""),"")</f>
        <v>#VALUE!</v>
      </c>
      <c r="AC16" s="67" t="e">
        <f>IF(U16="Égalité",IF(AND(W16&lt;&gt;X16,V16=MAX(V$16:V$18)),IF(AB16=MIN(AB$16:AB$18),T16+(COUNTIF(AA$16:AA$18,"Égalité")-1),T16),IF(AB16=MIN(AB$16:AB$18),T16+(Y16-1),T16)),T16)</f>
        <v>#VALUE!</v>
      </c>
      <c r="AD16" s="68" t="e">
        <f t="shared" ref="AD16:AD18" si="11">IF(OR(AC16=AC17,AC16=AC18),"Égalité","")</f>
        <v>#VALUE!</v>
      </c>
      <c r="AE16" s="68" t="e">
        <f t="shared" ref="AE16:AE18" si="12">IF(AD16="Égalité",AC16,"")</f>
        <v>#VALUE!</v>
      </c>
      <c r="AF16" s="68" t="e">
        <f t="shared" ref="AF16:AF18" si="13">IF(AD16="Égalité",MAX(AE$16:AE$18),"")</f>
        <v>#VALUE!</v>
      </c>
      <c r="AG16" s="68" t="e">
        <f t="shared" ref="AG16:AG18" si="14">IF(AD16="Égalité",MIN(AE$16:AE$18),"")</f>
        <v>#VALUE!</v>
      </c>
      <c r="AH16" s="68">
        <f t="shared" ref="AH16:AH18" si="15">COUNTIF(AC$16:AC$18,AC16)</f>
        <v>3</v>
      </c>
      <c r="AI16" s="68" t="e">
        <f t="shared" ref="AI16:AI18" si="16">$T16</f>
        <v>#VALUE!</v>
      </c>
      <c r="AJ16" s="68" t="e">
        <f t="shared" ref="AJ16:AJ18" si="17">IF(AD16="Égalité",IF(AC16=AF16,"Égalité",""),"")</f>
        <v>#VALUE!</v>
      </c>
      <c r="AK16" s="69" t="e">
        <f t="shared" ref="AK16:AK18" si="18">IF(AD16="Égalité",IF(AC16=AF16,AI16,""),"")</f>
        <v>#VALUE!</v>
      </c>
      <c r="AL16" s="74" t="e">
        <f t="shared" ref="AL16:AL18" si="19">IF(AD16="Égalité",IF(AND(AF16&lt;&gt;AG16,AE16=MAX(AE$16:AE$18)),IF(AK16=MIN(AK$16:AK$18),AC16+(COUNTIF(AJ$16:AJ$18,"Égalité")-1),AC16),IF(AK16=MIN(AK$16:AK$18),AC16+(AH16-1),AC16)),AC16)</f>
        <v>#VALUE!</v>
      </c>
    </row>
    <row r="17" spans="2:38" ht="29.25" customHeight="1" thickBot="1" x14ac:dyDescent="0.3">
      <c r="B17" s="95"/>
      <c r="C17" s="23" t="str">
        <f>IF(G17=G16,"Égalité","2e opposition")</f>
        <v>Égalité</v>
      </c>
      <c r="D17" s="149" t="str">
        <f t="shared" si="6"/>
        <v/>
      </c>
      <c r="E17" s="150"/>
      <c r="F17" s="150"/>
      <c r="G17" s="59" t="str">
        <f t="shared" si="7"/>
        <v/>
      </c>
      <c r="H17" s="35" t="str">
        <f t="shared" si="8"/>
        <v/>
      </c>
      <c r="I17" s="40" t="str">
        <f t="shared" si="9"/>
        <v/>
      </c>
      <c r="J17" s="30" t="str">
        <f t="shared" si="10"/>
        <v/>
      </c>
      <c r="K17" s="29"/>
      <c r="L17" s="80">
        <v>2</v>
      </c>
      <c r="M17" s="34"/>
      <c r="N17" s="34"/>
      <c r="O17" s="34"/>
      <c r="P17" s="34"/>
      <c r="Q17" s="34"/>
      <c r="R17" s="4"/>
      <c r="S17" s="4"/>
      <c r="T17" s="64" t="e">
        <f t="shared" ref="T17:T18" si="20">O7</f>
        <v>#VALUE!</v>
      </c>
      <c r="U17" s="65" t="e">
        <f t="shared" ref="U17:U18" si="21">IF(OR(T17=T18,T17=T19),"Égalité","")</f>
        <v>#VALUE!</v>
      </c>
      <c r="V17" s="65" t="e">
        <f t="shared" ref="V17:V18" si="22">IF(U17="Égalité",T17,"")</f>
        <v>#VALUE!</v>
      </c>
      <c r="W17" s="65" t="e">
        <f t="shared" ref="W17:W18" si="23">IF(U17="Égalité",MAX(V$16:V$18),"")</f>
        <v>#VALUE!</v>
      </c>
      <c r="X17" s="65" t="e">
        <f t="shared" ref="X17:X18" si="24">IF(U17="Égalité",MIN(V$16:V$18),"")</f>
        <v>#VALUE!</v>
      </c>
      <c r="Y17" s="65">
        <f t="shared" ref="Y17:Y18" si="25">COUNTIF(T$16:T$18,T17)</f>
        <v>3</v>
      </c>
      <c r="Z17" s="65" t="str">
        <f>$T7</f>
        <v/>
      </c>
      <c r="AA17" s="65" t="e">
        <f t="shared" ref="AA17:AA18" si="26">IF(U17="Égalité",IF(T17=W17,"Égalité",""),"")</f>
        <v>#VALUE!</v>
      </c>
      <c r="AB17" s="66" t="e">
        <f t="shared" ref="AB17:AB18" si="27">IF(U17="Égalité",IF(T17=W17,Z17,""),"")</f>
        <v>#VALUE!</v>
      </c>
      <c r="AC17" s="64" t="e">
        <f t="shared" ref="AC17:AC18" si="28">IF(U17="Égalité",IF(AND(W17&lt;&gt;X17,V17=MAX(V$16:V$18)),IF(AB17=MIN(AB$16:AB$18),T17+(COUNTIF(AA$16:AA$18,"Égalité")-1),T17),IF(AB17=MIN(AB$16:AB$18),T17+(Y17-1),T17)),T17)</f>
        <v>#VALUE!</v>
      </c>
      <c r="AD17" s="65" t="e">
        <f t="shared" si="11"/>
        <v>#VALUE!</v>
      </c>
      <c r="AE17" s="65" t="e">
        <f t="shared" si="12"/>
        <v>#VALUE!</v>
      </c>
      <c r="AF17" s="65" t="e">
        <f t="shared" si="13"/>
        <v>#VALUE!</v>
      </c>
      <c r="AG17" s="65" t="e">
        <f t="shared" si="14"/>
        <v>#VALUE!</v>
      </c>
      <c r="AH17" s="65">
        <f t="shared" si="15"/>
        <v>3</v>
      </c>
      <c r="AI17" s="65" t="e">
        <f t="shared" si="16"/>
        <v>#VALUE!</v>
      </c>
      <c r="AJ17" s="65" t="e">
        <f t="shared" si="17"/>
        <v>#VALUE!</v>
      </c>
      <c r="AK17" s="66" t="e">
        <f t="shared" si="18"/>
        <v>#VALUE!</v>
      </c>
      <c r="AL17" s="75" t="e">
        <f t="shared" si="19"/>
        <v>#VALUE!</v>
      </c>
    </row>
    <row r="18" spans="2:38" ht="29.25" thickBot="1" x14ac:dyDescent="0.3">
      <c r="B18" s="102"/>
      <c r="C18" s="103"/>
      <c r="D18" s="103"/>
      <c r="E18" s="103"/>
      <c r="F18" s="103"/>
      <c r="G18" s="103"/>
      <c r="H18" s="103"/>
      <c r="I18" s="103"/>
      <c r="J18" s="103"/>
      <c r="K18" s="104"/>
      <c r="L18" s="80">
        <v>3</v>
      </c>
      <c r="M18" s="34"/>
      <c r="N18" s="34"/>
      <c r="O18" s="34"/>
      <c r="P18" s="34"/>
      <c r="Q18" s="34"/>
      <c r="R18" s="4"/>
      <c r="S18" s="4"/>
      <c r="T18" s="76" t="e">
        <f t="shared" si="20"/>
        <v>#VALUE!</v>
      </c>
      <c r="U18" s="77" t="e">
        <f t="shared" si="21"/>
        <v>#VALUE!</v>
      </c>
      <c r="V18" s="77" t="e">
        <f t="shared" si="22"/>
        <v>#VALUE!</v>
      </c>
      <c r="W18" s="77" t="e">
        <f t="shared" si="23"/>
        <v>#VALUE!</v>
      </c>
      <c r="X18" s="77" t="e">
        <f t="shared" si="24"/>
        <v>#VALUE!</v>
      </c>
      <c r="Y18" s="77">
        <f t="shared" si="25"/>
        <v>3</v>
      </c>
      <c r="Z18" s="77" t="str">
        <f>$T8</f>
        <v/>
      </c>
      <c r="AA18" s="77" t="e">
        <f t="shared" si="26"/>
        <v>#VALUE!</v>
      </c>
      <c r="AB18" s="78" t="e">
        <f t="shared" si="27"/>
        <v>#VALUE!</v>
      </c>
      <c r="AC18" s="76" t="e">
        <f t="shared" si="28"/>
        <v>#VALUE!</v>
      </c>
      <c r="AD18" s="77" t="e">
        <f t="shared" si="11"/>
        <v>#VALUE!</v>
      </c>
      <c r="AE18" s="77" t="e">
        <f t="shared" si="12"/>
        <v>#VALUE!</v>
      </c>
      <c r="AF18" s="77" t="e">
        <f t="shared" si="13"/>
        <v>#VALUE!</v>
      </c>
      <c r="AG18" s="77" t="e">
        <f t="shared" si="14"/>
        <v>#VALUE!</v>
      </c>
      <c r="AH18" s="77">
        <f t="shared" si="15"/>
        <v>3</v>
      </c>
      <c r="AI18" s="77" t="e">
        <f t="shared" si="16"/>
        <v>#VALUE!</v>
      </c>
      <c r="AJ18" s="77" t="e">
        <f t="shared" si="17"/>
        <v>#VALUE!</v>
      </c>
      <c r="AK18" s="78" t="e">
        <f t="shared" si="18"/>
        <v>#VALUE!</v>
      </c>
      <c r="AL18" s="79" t="e">
        <f t="shared" si="19"/>
        <v>#VALUE!</v>
      </c>
    </row>
    <row r="19" spans="2:38" x14ac:dyDescent="0.25"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2:38" x14ac:dyDescent="0.25"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2:38" x14ac:dyDescent="0.25"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2:38" x14ac:dyDescent="0.25"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2:38" x14ac:dyDescent="0.25"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</sheetData>
  <mergeCells count="4">
    <mergeCell ref="D15:F15"/>
    <mergeCell ref="D16:F16"/>
    <mergeCell ref="D17:F17"/>
    <mergeCell ref="D14:F14"/>
  </mergeCells>
  <conditionalFormatting sqref="G6:G12">
    <cfRule type="cellIs" dxfId="17" priority="5" operator="equal">
      <formula>"Égalité"</formula>
    </cfRule>
  </conditionalFormatting>
  <conditionalFormatting sqref="C6:C12">
    <cfRule type="cellIs" dxfId="16" priority="2" operator="equal">
      <formula>0</formula>
    </cfRule>
  </conditionalFormatting>
  <conditionalFormatting sqref="D6:F12">
    <cfRule type="cellIs" dxfId="15" priority="1" operator="equal">
      <formula>"X"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2"/>
  <sheetViews>
    <sheetView zoomScaleNormal="100" workbookViewId="0">
      <selection activeCell="D4" sqref="D4"/>
    </sheetView>
  </sheetViews>
  <sheetFormatPr baseColWidth="10" defaultRowHeight="15" x14ac:dyDescent="0.25"/>
  <cols>
    <col min="1" max="1" width="2.7109375" style="106" customWidth="1"/>
    <col min="2" max="2" width="11.42578125" style="106"/>
    <col min="3" max="3" width="28.85546875" style="106" customWidth="1"/>
    <col min="4" max="6" width="14.42578125" style="106" customWidth="1"/>
    <col min="7" max="9" width="26.140625" style="106" customWidth="1"/>
    <col min="10" max="10" width="11.28515625" style="106" customWidth="1"/>
    <col min="11" max="13" width="11.28515625" style="106" hidden="1" customWidth="1"/>
    <col min="14" max="37" width="11.42578125" style="106" hidden="1" customWidth="1"/>
    <col min="38" max="16384" width="11.42578125" style="106"/>
  </cols>
  <sheetData>
    <row r="1" spans="2:37" ht="7.5" customHeight="1" thickBot="1" x14ac:dyDescent="0.3"/>
    <row r="2" spans="2:37" s="105" customFormat="1" ht="45.75" customHeight="1" x14ac:dyDescent="0.65">
      <c r="B2" s="46"/>
      <c r="C2" s="90" t="s">
        <v>18</v>
      </c>
      <c r="D2" s="47"/>
      <c r="E2" s="47"/>
      <c r="F2" s="47"/>
      <c r="G2" s="47"/>
      <c r="H2" s="47"/>
      <c r="I2" s="47"/>
      <c r="J2" s="48"/>
      <c r="K2" s="49"/>
      <c r="L2" s="49"/>
      <c r="M2" s="4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2:37" s="105" customFormat="1" ht="45.75" customHeight="1" x14ac:dyDescent="0.65">
      <c r="B3" s="91"/>
      <c r="C3" s="92" t="s">
        <v>20</v>
      </c>
      <c r="D3" s="107" t="s">
        <v>21</v>
      </c>
      <c r="E3" s="49"/>
      <c r="F3" s="49"/>
      <c r="G3" s="49"/>
      <c r="H3" s="49"/>
      <c r="I3" s="49"/>
      <c r="J3" s="50"/>
      <c r="K3" s="49"/>
      <c r="L3" s="49"/>
      <c r="M3" s="4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2:37" s="105" customFormat="1" ht="24" customHeight="1" thickBot="1" x14ac:dyDescent="0.3">
      <c r="B4" s="91"/>
      <c r="C4" s="93" t="s">
        <v>37</v>
      </c>
      <c r="D4" s="93">
        <f>Nb_sieges</f>
        <v>7</v>
      </c>
      <c r="E4" s="49"/>
      <c r="F4" s="49"/>
      <c r="G4" s="49"/>
      <c r="H4" s="49"/>
      <c r="I4" s="93"/>
      <c r="J4" s="94"/>
      <c r="K4" s="93"/>
      <c r="L4" s="93"/>
      <c r="M4" s="93"/>
      <c r="N4" s="5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2:37" ht="29.25" thickBot="1" x14ac:dyDescent="0.3">
      <c r="B5" s="95"/>
      <c r="C5" s="13"/>
      <c r="D5" s="14" t="str">
        <f>PA</f>
        <v>Parti A</v>
      </c>
      <c r="E5" s="14" t="str">
        <f>PB</f>
        <v>Parti B</v>
      </c>
      <c r="F5" s="14" t="str">
        <f>PC</f>
        <v>Parti C</v>
      </c>
      <c r="G5" s="15" t="s">
        <v>6</v>
      </c>
      <c r="H5" s="96"/>
      <c r="I5" s="96"/>
      <c r="J5" s="97"/>
      <c r="K5" s="81" t="str">
        <f>PA</f>
        <v>Parti A</v>
      </c>
      <c r="L5" s="81" t="str">
        <f>PB</f>
        <v>Parti B</v>
      </c>
      <c r="M5" s="81" t="str">
        <f>PC</f>
        <v>Parti C</v>
      </c>
      <c r="N5" s="81"/>
      <c r="O5" s="81"/>
      <c r="P5" s="81" t="s">
        <v>16</v>
      </c>
      <c r="Q5" s="81" t="s">
        <v>17</v>
      </c>
      <c r="R5" s="81" t="s">
        <v>59</v>
      </c>
      <c r="S5" s="81" t="s">
        <v>60</v>
      </c>
      <c r="T5" s="81" t="s">
        <v>40</v>
      </c>
      <c r="U5" s="81" t="s">
        <v>61</v>
      </c>
      <c r="V5" s="81" t="s">
        <v>17</v>
      </c>
      <c r="W5" s="81" t="s">
        <v>16</v>
      </c>
      <c r="X5" s="81" t="s">
        <v>44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2:37" ht="28.5" x14ac:dyDescent="0.25">
      <c r="B6" s="95"/>
      <c r="C6" s="17">
        <f>CA</f>
        <v>1</v>
      </c>
      <c r="D6" s="135" t="str">
        <f>IFERROR(IF(nb_smu1t=0,"",IF(OR(SMU1T!M6&gt;0.5,SMU1T!K6&gt;0.5),"X",IF(SMU1T!$S$9=0,"",IF(SMU1T!L6&gt;0.5,"ÉLU!",IF(SMU1T!D6=MIN(SMU1T!$D6:$F6),"X",""))))),"")</f>
        <v/>
      </c>
      <c r="E6" s="136" t="str">
        <f>IFERROR(IF(nb_smu1t=0,"",IF(OR(SMU1T!N6&gt;0.5,SMU1T!L6&gt;0.5),"X",IF(SMU1T!$S$9=0,"",IF(SMU1T!M6&gt;0.5,"ÉLU!",IF(SMU1T!E6=MIN(SMU1T!$D6:$F6),"X",""))))),"")</f>
        <v/>
      </c>
      <c r="F6" s="137" t="str">
        <f>IFERROR(IF(nb_smu1t=0,"",IF(OR(SMU1T!L6&gt;0.5,SMU1T!M6&gt;0.5),"X",IF(SMU1T!$S$9=0,"",IF(SMU1T!N6&gt;0.5,"ÉLU!",IF(SMU1T!F6=MIN(SMU1T!$D6:$F6),"X",""))))),"")</f>
        <v/>
      </c>
      <c r="G6" s="18" t="str">
        <f t="shared" ref="G6" si="0">IF(D6="ÉLU!",$D$5,IF(E6="ÉLU!",$E$5,IF(F6="ÉLU!",$F$5,IF(F6="","",IF(D6=MAX(D6:F6),IF(OR(D6=E6,D6=F6),"Égalité","Parti A"),IF(E6=MAX(D6:F6),IF(OR(E6=D6,E6=F6),"Égalité","Parti B"),IF(F6="X","",IF(F6=MAX(D6:F6),IF(OR(F6=E6,F6=D6),"Égalité","Parti C")))))))))</f>
        <v/>
      </c>
      <c r="H6" s="96"/>
      <c r="I6" s="96"/>
      <c r="J6" s="97"/>
      <c r="K6" s="81" t="str">
        <f>IF(D6="ÉLU!",SMU1T!D6,IF(D6="X",0,SMU2T!D6))</f>
        <v/>
      </c>
      <c r="L6" s="81" t="str">
        <f>IF(E6="ÉLU!",SMU1T!E6,IF(E6="X",0,SMU2T!E6))</f>
        <v/>
      </c>
      <c r="M6" s="81" t="str">
        <f>IF(F6="ÉLU!",SMU1T!F6,IF(F6="X",0,SMU2T!F6))</f>
        <v/>
      </c>
      <c r="N6" s="81" t="str">
        <f>IF(P9=0,"",COUNTIF($G$6:$G$12,O6))</f>
        <v/>
      </c>
      <c r="O6" s="81" t="str">
        <f>PA</f>
        <v>Parti A</v>
      </c>
      <c r="P6" s="82" t="str">
        <f>IF(P9=0,"",SUM(K6:K12)/$P$9)</f>
        <v/>
      </c>
      <c r="Q6" s="82" t="str">
        <f>IF(P9=0,"",N6/SUM($N$6:$N$8))</f>
        <v/>
      </c>
      <c r="R6" s="83" t="e">
        <f>RANK(U6,$N$6:$N$8)</f>
        <v>#VALUE!</v>
      </c>
      <c r="S6" s="83" t="e">
        <f>AK16</f>
        <v>#VALUE!</v>
      </c>
      <c r="T6" s="81" t="str">
        <f>PA</f>
        <v>Parti A</v>
      </c>
      <c r="U6" s="81" t="str">
        <f>IF(X9=0,"",COUNTIF($G$6:$G$12,T6))</f>
        <v/>
      </c>
      <c r="V6" s="82" t="e">
        <f>U6/Nb_sieges</f>
        <v>#VALUE!</v>
      </c>
      <c r="W6" s="82" t="str">
        <f>P6</f>
        <v/>
      </c>
      <c r="X6" s="81" t="str">
        <f>IF(nb_smu2t=0,"",SUM(D6:D12)+SMU1T!T6)</f>
        <v/>
      </c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2:37" ht="28.5" x14ac:dyDescent="0.25">
      <c r="B7" s="95"/>
      <c r="C7" s="17">
        <f>CB</f>
        <v>2</v>
      </c>
      <c r="D7" s="138" t="str">
        <f>IFERROR(IF(nb_smu1t=0,"",IF(OR(SMU1T!M7&gt;0.5,SMU1T!K7&gt;0.5),"X",IF(SMU1T!$S$9=0,"",IF(SMU1T!L7&gt;0.5,"ÉLU!",IF(SMU1T!D7=MIN(SMU1T!$D7:$F7),"X",""))))),"")</f>
        <v/>
      </c>
      <c r="E7" s="61" t="str">
        <f>IFERROR(IF(nb_smu1t=0,"",IF(OR(SMU1T!N7&gt;0.5,SMU1T!L7&gt;0.5),"X",IF(SMU1T!$S$9=0,"",IF(SMU1T!M7&gt;0.5,"ÉLU!",IF(SMU1T!E7=MIN(SMU1T!$D7:$F7),"X",""))))),"")</f>
        <v/>
      </c>
      <c r="F7" s="137" t="str">
        <f>IFERROR(IF(nb_smu1t=0,"",IF(OR(SMU1T!L7&gt;0.5,SMU1T!M7&gt;0.5),"X",IF(SMU1T!$S$9=0,"",IF(SMU1T!N7&gt;0.5,"ÉLU!",IF(SMU1T!F7=MIN(SMU1T!$D7:$F7),"X",""))))),"")</f>
        <v/>
      </c>
      <c r="G7" s="18" t="str">
        <f>IF(D7="ÉLU!",$D$5,IF(E7="ÉLU!",$E$5,IF(F7="ÉLU!",$F$5,IF(F7="","",IF(D7=MAX(D7:F7),IF(OR(D7=E7,D7=F7),"Égalité","Parti A"),IF(E7=MAX(D7:F7),IF(OR(E7=D7,E7=F7),"Égalité","Parti B"),IF(F7="X","",IF(F7=MAX(D7:F7),IF(OR(F7=E7,F7=D7),"Égalité","Parti C")))))))))</f>
        <v/>
      </c>
      <c r="H7" s="96"/>
      <c r="I7" s="96"/>
      <c r="J7" s="97"/>
      <c r="K7" s="81" t="str">
        <f>IF(D7="ÉLU!",SMU1T!D7,IF(D7="X",0,SMU2T!D7))</f>
        <v/>
      </c>
      <c r="L7" s="81" t="str">
        <f>IF(E7="ÉLU!",SMU1T!E7,IF(E7="X",0,SMU2T!E7))</f>
        <v/>
      </c>
      <c r="M7" s="81" t="str">
        <f>IF(F7="ÉLU!",SMU1T!F7,IF(F7="X",0,SMU2T!F7))</f>
        <v/>
      </c>
      <c r="N7" s="81" t="str">
        <f>IF(P9=0,"",COUNTIF($G$6:$G$12,O7))</f>
        <v/>
      </c>
      <c r="O7" s="81" t="str">
        <f>PB</f>
        <v>Parti B</v>
      </c>
      <c r="P7" s="82" t="str">
        <f>IF(P9=0,"",SUM(L6:L12)/$P$9)</f>
        <v/>
      </c>
      <c r="Q7" s="82" t="str">
        <f>IF(P9=0,"",N7/SUM($N$6:$N$8))</f>
        <v/>
      </c>
      <c r="R7" s="83" t="e">
        <f>RANK(U7,$N$6:$N$8)</f>
        <v>#VALUE!</v>
      </c>
      <c r="S7" s="83" t="e">
        <f t="shared" ref="S7:S8" si="1">AK17</f>
        <v>#VALUE!</v>
      </c>
      <c r="T7" s="81" t="str">
        <f>PB</f>
        <v>Parti B</v>
      </c>
      <c r="U7" s="81" t="str">
        <f>IF(X9=0,"",COUNTIF($G$6:$G$12,T7))</f>
        <v/>
      </c>
      <c r="V7" s="82" t="e">
        <f>U7/Nb_sieges</f>
        <v>#VALUE!</v>
      </c>
      <c r="W7" s="82" t="str">
        <f t="shared" ref="W7:W8" si="2">P7</f>
        <v/>
      </c>
      <c r="X7" s="81" t="str">
        <f>IF(nb_smu2t=0,"",SUM(D7:D12)+SMU1T!T7)</f>
        <v/>
      </c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2:37" ht="28.5" x14ac:dyDescent="0.25">
      <c r="B8" s="95"/>
      <c r="C8" s="17">
        <f>CC</f>
        <v>3</v>
      </c>
      <c r="D8" s="138" t="str">
        <f>IFERROR(IF(nb_smu1t=0,"",IF(OR(SMU1T!M8&gt;0.5,SMU1T!K8&gt;0.5),"X",IF(SMU1T!$S$9=0,"",IF(SMU1T!L8&gt;0.5,"ÉLU!",IF(SMU1T!D8=MIN(SMU1T!$D8:$F8),"X",""))))),"")</f>
        <v/>
      </c>
      <c r="E8" s="61" t="str">
        <f>IFERROR(IF(nb_smu1t=0,"",IF(OR(SMU1T!N8&gt;0.5,SMU1T!L8&gt;0.5),"X",IF(SMU1T!$S$9=0,"",IF(SMU1T!M8&gt;0.5,"ÉLU!",IF(SMU1T!E8=MIN(SMU1T!$D8:$F8),"X",""))))),"")</f>
        <v/>
      </c>
      <c r="F8" s="137" t="str">
        <f>IFERROR(IF(nb_smu1t=0,"",IF(OR(SMU1T!L8&gt;0.5,SMU1T!M8&gt;0.5),"X",IF(SMU1T!$S$9=0,"",IF(SMU1T!N8&gt;0.5,"ÉLU!",IF(SMU1T!F8=MIN(SMU1T!$D8:$F8),"X",""))))),"")</f>
        <v/>
      </c>
      <c r="G8" s="18" t="str">
        <f t="shared" ref="G8:G12" si="3">IF(D8="ÉLU!",$D$5,IF(E8="ÉLU!",$E$5,IF(F8="ÉLU!",$F$5,IF(F8="","",IF(D8=MAX(D8:F8),IF(OR(D8=E8,D8=F8),"Égalité","Parti A"),IF(E8=MAX(D8:F8),IF(OR(E8=D8,E8=F8),"Égalité","Parti B"),IF(F8="X","",IF(F8=MAX(D8:F8),IF(OR(F8=E8,F8=D8),"Égalité","Parti C")))))))))</f>
        <v/>
      </c>
      <c r="H8" s="96"/>
      <c r="I8" s="96"/>
      <c r="J8" s="97"/>
      <c r="K8" s="81" t="str">
        <f>IF(D8="ÉLU!",SMU1T!D8,IF(D8="X",0,SMU2T!D8))</f>
        <v/>
      </c>
      <c r="L8" s="81" t="str">
        <f>IF(E8="ÉLU!",SMU1T!E8,IF(E8="X",0,SMU2T!E8))</f>
        <v/>
      </c>
      <c r="M8" s="81" t="str">
        <f>IF(F8="ÉLU!",SMU1T!F8,IF(F8="X",0,SMU2T!F8))</f>
        <v/>
      </c>
      <c r="N8" s="81" t="str">
        <f>IF(P9=0,"",COUNTIF($G$6:$G$12,O8))</f>
        <v/>
      </c>
      <c r="O8" s="81" t="str">
        <f>PC</f>
        <v>Parti C</v>
      </c>
      <c r="P8" s="82" t="str">
        <f>IF(P9=0,"",SUM(M6:M12)/$P$9)</f>
        <v/>
      </c>
      <c r="Q8" s="82" t="str">
        <f>IF(P9=0,"",N8/SUM($N$6:$N$8))</f>
        <v/>
      </c>
      <c r="R8" s="83" t="e">
        <f>RANK(U8,$N$6:$N$8)</f>
        <v>#VALUE!</v>
      </c>
      <c r="S8" s="83" t="e">
        <f t="shared" si="1"/>
        <v>#VALUE!</v>
      </c>
      <c r="T8" s="81" t="str">
        <f>PC</f>
        <v>Parti C</v>
      </c>
      <c r="U8" s="81" t="str">
        <f>IF(X9=0,"",COUNTIF($G$6:$G$12,T8))</f>
        <v/>
      </c>
      <c r="V8" s="82" t="e">
        <f>U8/Nb_sieges</f>
        <v>#VALUE!</v>
      </c>
      <c r="W8" s="82" t="str">
        <f t="shared" si="2"/>
        <v/>
      </c>
      <c r="X8" s="81" t="str">
        <f>IF(nb_smu2t=0,"",SUM(D8:D13)+SMU1T!T8)</f>
        <v/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2:37" ht="28.5" x14ac:dyDescent="0.25">
      <c r="B9" s="95"/>
      <c r="C9" s="17">
        <f>CD</f>
        <v>4</v>
      </c>
      <c r="D9" s="138" t="str">
        <f>IFERROR(IF(nb_smu1t=0,"",IF(OR(SMU1T!M9&gt;0.5,SMU1T!K9&gt;0.5),"X",IF(SMU1T!$S$9=0,"",IF(SMU1T!L9&gt;0.5,"ÉLU!",IF(SMU1T!D9=MIN(SMU1T!$D9:$F9),"X",""))))),"")</f>
        <v/>
      </c>
      <c r="E9" s="61" t="str">
        <f>IFERROR(IF(nb_smu1t=0,"",IF(OR(SMU1T!N9&gt;0.5,SMU1T!L9&gt;0.5),"X",IF(SMU1T!$S$9=0,"",IF(SMU1T!M9&gt;0.5,"ÉLU!",IF(SMU1T!E9=MIN(SMU1T!$D9:$F9),"X",""))))),"")</f>
        <v/>
      </c>
      <c r="F9" s="137" t="str">
        <f>IFERROR(IF(nb_smu1t=0,"",IF(OR(SMU1T!L9&gt;0.5,SMU1T!M9&gt;0.5),"X",IF(SMU1T!$S$9=0,"",IF(SMU1T!N9&gt;0.5,"ÉLU!",IF(SMU1T!F9=MIN(SMU1T!$D9:$F9),"X",""))))),"")</f>
        <v/>
      </c>
      <c r="G9" s="18" t="str">
        <f t="shared" si="3"/>
        <v/>
      </c>
      <c r="H9" s="96"/>
      <c r="I9" s="96"/>
      <c r="J9" s="97"/>
      <c r="K9" s="81" t="str">
        <f>IF(D9="ÉLU!",SMU1T!D9,IF(D9="X",0,SMU2T!D9))</f>
        <v/>
      </c>
      <c r="L9" s="81" t="str">
        <f>IF(E9="ÉLU!",SMU1T!E9,IF(E9="X",0,SMU2T!E9))</f>
        <v/>
      </c>
      <c r="M9" s="81" t="str">
        <f>IF(F9="ÉLU!",SMU1T!F9,IF(F9="X",0,SMU2T!F9))</f>
        <v/>
      </c>
      <c r="N9" s="81"/>
      <c r="O9" s="81" t="s">
        <v>10</v>
      </c>
      <c r="P9" s="81">
        <f>SUM(K6:M12)</f>
        <v>0</v>
      </c>
      <c r="Q9" s="81"/>
      <c r="R9" s="84"/>
      <c r="S9" s="84"/>
      <c r="T9" s="81"/>
      <c r="U9" s="4"/>
      <c r="V9" s="4"/>
      <c r="W9" s="81" t="s">
        <v>10</v>
      </c>
      <c r="X9" s="81">
        <f>nb_smu2t</f>
        <v>0</v>
      </c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2:37" ht="28.5" x14ac:dyDescent="0.25">
      <c r="B10" s="95"/>
      <c r="C10" s="17">
        <f>CE</f>
        <v>5</v>
      </c>
      <c r="D10" s="138" t="str">
        <f>IFERROR(IF(nb_smu1t=0,"",IF(OR(SMU1T!M10&gt;0.5,SMU1T!K10&gt;0.5),"X",IF(SMU1T!$S$9=0,"",IF(SMU1T!L10&gt;0.5,"ÉLU!",IF(SMU1T!D10=MIN(SMU1T!$D10:$F10),"X",""))))),"")</f>
        <v/>
      </c>
      <c r="E10" s="61" t="str">
        <f>IFERROR(IF(nb_smu1t=0,"",IF(OR(SMU1T!N10&gt;0.5,SMU1T!L10&gt;0.5),"X",IF(SMU1T!$S$9=0,"",IF(SMU1T!M10&gt;0.5,"ÉLU!",IF(SMU1T!E10=MIN(SMU1T!$D10:$F10),"X",""))))),"")</f>
        <v/>
      </c>
      <c r="F10" s="137" t="str">
        <f>IFERROR(IF(nb_smu1t=0,"",IF(OR(SMU1T!L10&gt;0.5,SMU1T!M10&gt;0.5),"X",IF(SMU1T!$S$9=0,"",IF(SMU1T!N10&gt;0.5,"ÉLU!",IF(SMU1T!F10=MIN(SMU1T!$D10:$F10),"X",""))))),"")</f>
        <v/>
      </c>
      <c r="G10" s="18" t="str">
        <f t="shared" si="3"/>
        <v/>
      </c>
      <c r="H10" s="96"/>
      <c r="I10" s="96"/>
      <c r="J10" s="97"/>
      <c r="K10" s="81" t="str">
        <f>IF(D10="ÉLU!",SMU1T!D10,IF(D10="X",0,SMU2T!D10))</f>
        <v/>
      </c>
      <c r="L10" s="81" t="str">
        <f>IF(E10="ÉLU!",SMU1T!E10,IF(E10="X",0,SMU2T!E10))</f>
        <v/>
      </c>
      <c r="M10" s="81" t="str">
        <f>IF(F10="ÉLU!",SMU1T!F10,IF(F10="X",0,SMU2T!F10))</f>
        <v/>
      </c>
      <c r="N10" s="4"/>
      <c r="O10" s="4"/>
      <c r="P10" s="4"/>
      <c r="Q10" s="4"/>
      <c r="R10" s="51"/>
      <c r="S10" s="51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2:37" ht="28.5" x14ac:dyDescent="0.25">
      <c r="B11" s="95"/>
      <c r="C11" s="17">
        <f>CF</f>
        <v>6</v>
      </c>
      <c r="D11" s="138" t="str">
        <f>IFERROR(IF(nb_smu1t=0,"",IF(OR(SMU1T!M11&gt;0.5,SMU1T!K11&gt;0.5),"X",IF(SMU1T!$S$9=0,"",IF(SMU1T!L11&gt;0.5,"ÉLU!",IF(SMU1T!D11=MIN(SMU1T!$D11:$F11),"X",""))))),"")</f>
        <v/>
      </c>
      <c r="E11" s="61" t="str">
        <f>IFERROR(IF(nb_smu1t=0,"",IF(OR(SMU1T!N11&gt;0.5,SMU1T!L11&gt;0.5),"X",IF(SMU1T!$S$9=0,"",IF(SMU1T!M11&gt;0.5,"ÉLU!",IF(SMU1T!E11=MIN(SMU1T!$D11:$F11),"X",""))))),"")</f>
        <v/>
      </c>
      <c r="F11" s="137" t="str">
        <f>IFERROR(IF(nb_smu1t=0,"",IF(OR(SMU1T!L11&gt;0.5,SMU1T!M11&gt;0.5),"X",IF(SMU1T!$S$9=0,"",IF(SMU1T!N11&gt;0.5,"ÉLU!",IF(SMU1T!F11=MIN(SMU1T!$D11:$F11),"X",""))))),"")</f>
        <v/>
      </c>
      <c r="G11" s="18" t="str">
        <f t="shared" si="3"/>
        <v/>
      </c>
      <c r="H11" s="96"/>
      <c r="I11" s="96"/>
      <c r="J11" s="97"/>
      <c r="K11" s="81" t="str">
        <f>IF(D11="ÉLU!",SMU1T!D11,IF(D11="X",0,SMU2T!D11))</f>
        <v/>
      </c>
      <c r="L11" s="81" t="str">
        <f>IF(E11="ÉLU!",SMU1T!E11,IF(E11="X",0,SMU2T!E11))</f>
        <v/>
      </c>
      <c r="M11" s="81" t="str">
        <f>IF(F11="ÉLU!",SMU1T!F11,IF(F11="X",0,SMU2T!F11))</f>
        <v/>
      </c>
      <c r="N11" s="4"/>
      <c r="O11" s="4"/>
      <c r="P11" s="4"/>
      <c r="Q11" s="4"/>
      <c r="R11" s="51"/>
      <c r="S11" s="51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2:37" ht="29.25" thickBot="1" x14ac:dyDescent="0.3">
      <c r="B12" s="95"/>
      <c r="C12" s="19">
        <f>CG</f>
        <v>7</v>
      </c>
      <c r="D12" s="139" t="str">
        <f>IFERROR(IF(nb_smu1t=0,"",IF(OR(SMU1T!M12&gt;0.5,SMU1T!K12&gt;0.5),"X",IF(SMU1T!$S$9=0,"",IF(SMU1T!L12&gt;0.5,"ÉLU!",IF(SMU1T!D12=MIN(SMU1T!$D12:$F12),"X",""))))),"")</f>
        <v/>
      </c>
      <c r="E12" s="62" t="str">
        <f>IFERROR(IF(nb_smu1t=0,"",IF(OR(SMU1T!N12&gt;0.5,SMU1T!L12&gt;0.5),"X",IF(SMU1T!$S$9=0,"",IF(SMU1T!M12&gt;0.5,"ÉLU!",IF(SMU1T!E12=MIN(SMU1T!$D12:$F12),"X",""))))),"")</f>
        <v/>
      </c>
      <c r="F12" s="140" t="str">
        <f>IFERROR(IF(nb_smu1t=0,"",IF(OR(SMU1T!L12&gt;0.5,SMU1T!M12&gt;0.5),"X",IF(SMU1T!$S$9=0,"",IF(SMU1T!N12&gt;0.5,"ÉLU!",IF(SMU1T!F12=MIN(SMU1T!$D12:$F12),"X",""))))),"")</f>
        <v/>
      </c>
      <c r="G12" s="20" t="str">
        <f t="shared" si="3"/>
        <v/>
      </c>
      <c r="H12" s="96"/>
      <c r="I12" s="96"/>
      <c r="J12" s="97"/>
      <c r="K12" s="81" t="str">
        <f>IF(D12="ÉLU!",SMU1T!D12,IF(D12="X",0,SMU2T!D12))</f>
        <v/>
      </c>
      <c r="L12" s="81" t="str">
        <f>IF(E12="ÉLU!",SMU1T!E12,IF(E12="X",0,SMU2T!E12))</f>
        <v/>
      </c>
      <c r="M12" s="81" t="str">
        <f>IF(F12="ÉLU!",SMU1T!F12,IF(F12="X",0,SMU2T!F12))</f>
        <v/>
      </c>
      <c r="N12" s="4"/>
      <c r="O12" s="4"/>
      <c r="P12" s="4"/>
      <c r="Q12" s="4"/>
      <c r="R12" s="51"/>
      <c r="S12" s="51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2:37" ht="20.25" customHeight="1" thickBot="1" x14ac:dyDescent="0.3">
      <c r="B13" s="95"/>
      <c r="C13" s="96"/>
      <c r="D13" s="96"/>
      <c r="E13" s="96"/>
      <c r="F13" s="96"/>
      <c r="G13" s="96"/>
      <c r="H13" s="96"/>
      <c r="I13" s="96"/>
      <c r="J13" s="97"/>
      <c r="K13" s="96"/>
      <c r="L13" s="96"/>
      <c r="M13" s="96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2:37" ht="57.75" thickBot="1" x14ac:dyDescent="0.3">
      <c r="B14" s="95"/>
      <c r="C14" s="13"/>
      <c r="D14" s="151" t="s">
        <v>11</v>
      </c>
      <c r="E14" s="152"/>
      <c r="F14" s="152"/>
      <c r="G14" s="27" t="s">
        <v>7</v>
      </c>
      <c r="H14" s="27" t="s">
        <v>9</v>
      </c>
      <c r="I14" s="28" t="s">
        <v>8</v>
      </c>
      <c r="J14" s="100"/>
      <c r="K14" s="134"/>
      <c r="L14" s="134"/>
      <c r="M14" s="13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2:37" ht="29.25" customHeight="1" thickBot="1" x14ac:dyDescent="0.3">
      <c r="B15" s="95"/>
      <c r="C15" s="21" t="s">
        <v>3</v>
      </c>
      <c r="D15" s="148" t="str">
        <f>IFERROR(VLOOKUP($N16,$S$6:$X$8,2,FALSE),"")</f>
        <v/>
      </c>
      <c r="E15" s="148"/>
      <c r="F15" s="148"/>
      <c r="G15" s="58" t="str">
        <f>IFERROR(VLOOKUP($N16,$S$6:$X$8,3,FALSE),"")</f>
        <v/>
      </c>
      <c r="H15" s="34" t="str">
        <f>IFERROR(VLOOKUP($N16,$S$6:$X$8,4,FALSE),"")</f>
        <v/>
      </c>
      <c r="I15" s="29" t="str">
        <f>IFERROR(VLOOKUP($N16,$S$6:$X$8,5,FALSE),"")</f>
        <v/>
      </c>
      <c r="J15" s="29"/>
      <c r="K15" s="34"/>
      <c r="L15" s="34"/>
      <c r="M15" s="34"/>
      <c r="N15" s="4"/>
      <c r="O15" s="4"/>
      <c r="P15" s="4"/>
      <c r="Q15" s="4"/>
      <c r="R15" s="4"/>
      <c r="S15" s="70" t="s">
        <v>51</v>
      </c>
      <c r="T15" s="71" t="s">
        <v>52</v>
      </c>
      <c r="U15" s="71" t="s">
        <v>53</v>
      </c>
      <c r="V15" s="71" t="s">
        <v>54</v>
      </c>
      <c r="W15" s="71" t="s">
        <v>55</v>
      </c>
      <c r="X15" s="71" t="s">
        <v>56</v>
      </c>
      <c r="Y15" s="71" t="s">
        <v>44</v>
      </c>
      <c r="Z15" s="71" t="s">
        <v>57</v>
      </c>
      <c r="AA15" s="72" t="s">
        <v>58</v>
      </c>
      <c r="AB15" s="70" t="s">
        <v>51</v>
      </c>
      <c r="AC15" s="71" t="s">
        <v>52</v>
      </c>
      <c r="AD15" s="71" t="s">
        <v>53</v>
      </c>
      <c r="AE15" s="71" t="s">
        <v>54</v>
      </c>
      <c r="AF15" s="71" t="s">
        <v>55</v>
      </c>
      <c r="AG15" s="71" t="s">
        <v>56</v>
      </c>
      <c r="AH15" s="71" t="s">
        <v>44</v>
      </c>
      <c r="AI15" s="71" t="s">
        <v>57</v>
      </c>
      <c r="AJ15" s="72" t="s">
        <v>58</v>
      </c>
      <c r="AK15" s="73" t="s">
        <v>51</v>
      </c>
    </row>
    <row r="16" spans="2:37" ht="29.25" customHeight="1" x14ac:dyDescent="0.25">
      <c r="B16" s="95"/>
      <c r="C16" s="21" t="s">
        <v>4</v>
      </c>
      <c r="D16" s="147" t="str">
        <f t="shared" ref="D16:D17" si="4">IFERROR(VLOOKUP($N17,$S$6:$X$8,2,FALSE),"")</f>
        <v/>
      </c>
      <c r="E16" s="148"/>
      <c r="F16" s="148"/>
      <c r="G16" s="58" t="str">
        <f t="shared" ref="G16:G17" si="5">IFERROR(VLOOKUP($N17,$S$6:$X$8,3,FALSE),"")</f>
        <v/>
      </c>
      <c r="H16" s="34" t="str">
        <f t="shared" ref="H16:H17" si="6">IFERROR(VLOOKUP($N17,$S$6:$X$8,4,FALSE),"")</f>
        <v/>
      </c>
      <c r="I16" s="29" t="str">
        <f t="shared" ref="I16:I17" si="7">IFERROR(VLOOKUP($N17,$S$6:$X$8,5,FALSE),"")</f>
        <v/>
      </c>
      <c r="J16" s="29"/>
      <c r="K16" s="34"/>
      <c r="L16" s="34"/>
      <c r="M16" s="34"/>
      <c r="N16" s="63">
        <v>1</v>
      </c>
      <c r="O16" s="4"/>
      <c r="P16" s="4"/>
      <c r="Q16" s="4"/>
      <c r="R16" s="4"/>
      <c r="S16" s="67" t="e">
        <f>R6</f>
        <v>#VALUE!</v>
      </c>
      <c r="T16" s="68" t="e">
        <f>IF(OR(S16=S17,S16=S18),"Égalité","")</f>
        <v>#VALUE!</v>
      </c>
      <c r="U16" s="68" t="e">
        <f>IF(T16="Égalité",S16,"")</f>
        <v>#VALUE!</v>
      </c>
      <c r="V16" s="68" t="e">
        <f>IF(T16="Égalité",MAX(U$16:U$18),"")</f>
        <v>#VALUE!</v>
      </c>
      <c r="W16" s="68" t="e">
        <f>IF(T16="Égalité",MIN(U$16:U$18),"")</f>
        <v>#VALUE!</v>
      </c>
      <c r="X16" s="68">
        <f>COUNTIF(S$16:S$18,S16)</f>
        <v>3</v>
      </c>
      <c r="Y16" s="68" t="str">
        <f>$X6</f>
        <v/>
      </c>
      <c r="Z16" s="68" t="e">
        <f>IF(T16="Égalité",IF(S16=V16,"Égalité",""),"")</f>
        <v>#VALUE!</v>
      </c>
      <c r="AA16" s="69" t="e">
        <f>IF(T16="Égalité",IF(S16=V16,Y16,""),"")</f>
        <v>#VALUE!</v>
      </c>
      <c r="AB16" s="67" t="e">
        <f>IF(T16="Égalité",IF(AND(V16&lt;&gt;W16,U16=MAX(U$16:U$18)),IF(AA16=MIN(AA$16:AA$18),S16+(COUNTIF(Z$16:Z$18,"Égalité")-1),S16),IF(AA16=MIN(AA$16:AA$18),S16+(X16-1),S16)),S16)</f>
        <v>#VALUE!</v>
      </c>
      <c r="AC16" s="68" t="e">
        <f t="shared" ref="AC16:AC18" si="8">IF(OR(AB16=AB17,AB16=AB18),"Égalité","")</f>
        <v>#VALUE!</v>
      </c>
      <c r="AD16" s="68" t="e">
        <f t="shared" ref="AD16:AD18" si="9">IF(AC16="Égalité",AB16,"")</f>
        <v>#VALUE!</v>
      </c>
      <c r="AE16" s="68" t="e">
        <f t="shared" ref="AE16:AE18" si="10">IF(AC16="Égalité",MAX(AD$16:AD$18),"")</f>
        <v>#VALUE!</v>
      </c>
      <c r="AF16" s="68" t="e">
        <f t="shared" ref="AF16:AF18" si="11">IF(AC16="Égalité",MIN(AD$16:AD$18),"")</f>
        <v>#VALUE!</v>
      </c>
      <c r="AG16" s="68">
        <f t="shared" ref="AG16:AG18" si="12">COUNTIF(AB$16:AB$18,AB16)</f>
        <v>3</v>
      </c>
      <c r="AH16" s="68" t="e">
        <f t="shared" ref="AH16:AH18" si="13">$W16</f>
        <v>#VALUE!</v>
      </c>
      <c r="AI16" s="68" t="e">
        <f t="shared" ref="AI16:AI18" si="14">IF(AC16="Égalité",IF(AB16=AE16,"Égalité",""),"")</f>
        <v>#VALUE!</v>
      </c>
      <c r="AJ16" s="69" t="e">
        <f t="shared" ref="AJ16:AJ18" si="15">IF(AC16="Égalité",IF(AB16=AE16,AH16,""),"")</f>
        <v>#VALUE!</v>
      </c>
      <c r="AK16" s="74" t="e">
        <f t="shared" ref="AK16:AK18" si="16">IF(AC16="Égalité",IF(AND(AE16&lt;&gt;AF16,AD16=MAX(AD$16:AD$18)),IF(AJ16=MIN(AJ$16:AJ$18),AB16+(COUNTIF(AI$16:AI$18,"Égalité")-1),AB16),IF(AJ16=MIN(AJ$16:AJ$18),AB16+(AG16-1),AB16)),AB16)</f>
        <v>#VALUE!</v>
      </c>
    </row>
    <row r="17" spans="2:37" ht="29.25" customHeight="1" thickBot="1" x14ac:dyDescent="0.3">
      <c r="B17" s="95"/>
      <c r="C17" s="23" t="s">
        <v>5</v>
      </c>
      <c r="D17" s="149" t="str">
        <f t="shared" si="4"/>
        <v/>
      </c>
      <c r="E17" s="150"/>
      <c r="F17" s="150"/>
      <c r="G17" s="59" t="str">
        <f t="shared" si="5"/>
        <v/>
      </c>
      <c r="H17" s="35" t="str">
        <f t="shared" si="6"/>
        <v/>
      </c>
      <c r="I17" s="30" t="str">
        <f t="shared" si="7"/>
        <v/>
      </c>
      <c r="J17" s="29"/>
      <c r="K17" s="34"/>
      <c r="L17" s="34"/>
      <c r="M17" s="34"/>
      <c r="N17" s="63">
        <v>2</v>
      </c>
      <c r="O17" s="4"/>
      <c r="P17" s="4"/>
      <c r="Q17" s="4"/>
      <c r="R17" s="4"/>
      <c r="S17" s="64" t="e">
        <f>R7</f>
        <v>#VALUE!</v>
      </c>
      <c r="T17" s="65" t="e">
        <f t="shared" ref="T17:T18" si="17">IF(OR(S17=S18,S17=S19),"Égalité","")</f>
        <v>#VALUE!</v>
      </c>
      <c r="U17" s="65" t="e">
        <f t="shared" ref="U17:U18" si="18">IF(T17="Égalité",S17,"")</f>
        <v>#VALUE!</v>
      </c>
      <c r="V17" s="65" t="e">
        <f t="shared" ref="V17:V18" si="19">IF(T17="Égalité",MAX(U$16:U$18),"")</f>
        <v>#VALUE!</v>
      </c>
      <c r="W17" s="65" t="e">
        <f t="shared" ref="W17:W18" si="20">IF(T17="Égalité",MIN(U$16:U$18),"")</f>
        <v>#VALUE!</v>
      </c>
      <c r="X17" s="65">
        <f t="shared" ref="X17:X18" si="21">COUNTIF(S$16:S$18,S17)</f>
        <v>3</v>
      </c>
      <c r="Y17" s="65" t="str">
        <f>$X7</f>
        <v/>
      </c>
      <c r="Z17" s="65" t="e">
        <f t="shared" ref="Z17:Z18" si="22">IF(T17="Égalité",IF(S17=V17,"Égalité",""),"")</f>
        <v>#VALUE!</v>
      </c>
      <c r="AA17" s="66" t="e">
        <f t="shared" ref="AA17:AA18" si="23">IF(T17="Égalité",IF(S17=V17,Y17,""),"")</f>
        <v>#VALUE!</v>
      </c>
      <c r="AB17" s="64" t="e">
        <f t="shared" ref="AB17:AB18" si="24">IF(T17="Égalité",IF(AND(V17&lt;&gt;W17,U17=MAX(U$16:U$18)),IF(AA17=MIN(AA$16:AA$18),S17+(COUNTIF(Z$16:Z$18,"Égalité")-1),S17),IF(AA17=MIN(AA$16:AA$18),S17+(X17-1),S17)),S17)</f>
        <v>#VALUE!</v>
      </c>
      <c r="AC17" s="65" t="e">
        <f t="shared" si="8"/>
        <v>#VALUE!</v>
      </c>
      <c r="AD17" s="65" t="e">
        <f t="shared" si="9"/>
        <v>#VALUE!</v>
      </c>
      <c r="AE17" s="65" t="e">
        <f t="shared" si="10"/>
        <v>#VALUE!</v>
      </c>
      <c r="AF17" s="65" t="e">
        <f t="shared" si="11"/>
        <v>#VALUE!</v>
      </c>
      <c r="AG17" s="65">
        <f t="shared" si="12"/>
        <v>3</v>
      </c>
      <c r="AH17" s="65" t="e">
        <f t="shared" si="13"/>
        <v>#VALUE!</v>
      </c>
      <c r="AI17" s="65" t="e">
        <f t="shared" si="14"/>
        <v>#VALUE!</v>
      </c>
      <c r="AJ17" s="66" t="e">
        <f t="shared" si="15"/>
        <v>#VALUE!</v>
      </c>
      <c r="AK17" s="75" t="e">
        <f t="shared" si="16"/>
        <v>#VALUE!</v>
      </c>
    </row>
    <row r="18" spans="2:37" ht="15.75" thickBot="1" x14ac:dyDescent="0.3">
      <c r="B18" s="102"/>
      <c r="C18" s="103"/>
      <c r="D18" s="103"/>
      <c r="E18" s="103"/>
      <c r="F18" s="103"/>
      <c r="G18" s="103"/>
      <c r="H18" s="103"/>
      <c r="I18" s="103"/>
      <c r="J18" s="104"/>
      <c r="K18" s="99"/>
      <c r="L18" s="99"/>
      <c r="M18" s="99"/>
      <c r="N18" s="63">
        <v>3</v>
      </c>
      <c r="O18" s="4"/>
      <c r="P18" s="4"/>
      <c r="Q18" s="4"/>
      <c r="R18" s="4"/>
      <c r="S18" s="76" t="e">
        <f>R8</f>
        <v>#VALUE!</v>
      </c>
      <c r="T18" s="77" t="e">
        <f t="shared" si="17"/>
        <v>#VALUE!</v>
      </c>
      <c r="U18" s="77" t="e">
        <f t="shared" si="18"/>
        <v>#VALUE!</v>
      </c>
      <c r="V18" s="77" t="e">
        <f t="shared" si="19"/>
        <v>#VALUE!</v>
      </c>
      <c r="W18" s="77" t="e">
        <f t="shared" si="20"/>
        <v>#VALUE!</v>
      </c>
      <c r="X18" s="77">
        <f t="shared" si="21"/>
        <v>3</v>
      </c>
      <c r="Y18" s="77" t="str">
        <f>$X8</f>
        <v/>
      </c>
      <c r="Z18" s="77" t="e">
        <f t="shared" si="22"/>
        <v>#VALUE!</v>
      </c>
      <c r="AA18" s="78" t="e">
        <f t="shared" si="23"/>
        <v>#VALUE!</v>
      </c>
      <c r="AB18" s="76" t="e">
        <f t="shared" si="24"/>
        <v>#VALUE!</v>
      </c>
      <c r="AC18" s="77" t="e">
        <f t="shared" si="8"/>
        <v>#VALUE!</v>
      </c>
      <c r="AD18" s="77" t="e">
        <f t="shared" si="9"/>
        <v>#VALUE!</v>
      </c>
      <c r="AE18" s="77" t="e">
        <f t="shared" si="10"/>
        <v>#VALUE!</v>
      </c>
      <c r="AF18" s="77" t="e">
        <f t="shared" si="11"/>
        <v>#VALUE!</v>
      </c>
      <c r="AG18" s="77">
        <f t="shared" si="12"/>
        <v>3</v>
      </c>
      <c r="AH18" s="77" t="e">
        <f t="shared" si="13"/>
        <v>#VALUE!</v>
      </c>
      <c r="AI18" s="77" t="e">
        <f t="shared" si="14"/>
        <v>#VALUE!</v>
      </c>
      <c r="AJ18" s="78" t="e">
        <f t="shared" si="15"/>
        <v>#VALUE!</v>
      </c>
      <c r="AK18" s="79" t="e">
        <f t="shared" si="16"/>
        <v>#VALUE!</v>
      </c>
    </row>
    <row r="19" spans="2:37" x14ac:dyDescent="0.25"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2:37" x14ac:dyDescent="0.25"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2:37" x14ac:dyDescent="0.25"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2:37" x14ac:dyDescent="0.25"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</sheetData>
  <mergeCells count="4">
    <mergeCell ref="D14:F14"/>
    <mergeCell ref="D15:F15"/>
    <mergeCell ref="D16:F16"/>
    <mergeCell ref="D17:F17"/>
  </mergeCells>
  <conditionalFormatting sqref="G6:G12">
    <cfRule type="cellIs" dxfId="14" priority="8" operator="equal">
      <formula>"Égalité"</formula>
    </cfRule>
  </conditionalFormatting>
  <conditionalFormatting sqref="D6:F12">
    <cfRule type="containsText" dxfId="13" priority="2" operator="containsText" text="ÉLU!">
      <formula>NOT(ISERROR(SEARCH("ÉLU!",D6)))</formula>
    </cfRule>
    <cfRule type="cellIs" dxfId="12" priority="7" operator="equal">
      <formula>"X"</formula>
    </cfRule>
  </conditionalFormatting>
  <conditionalFormatting sqref="C5:F5 C6:C12">
    <cfRule type="cellIs" dxfId="11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27"/>
  <sheetViews>
    <sheetView zoomScaleNormal="100" workbookViewId="0">
      <selection activeCell="J1" sqref="J1:AM1048576"/>
    </sheetView>
  </sheetViews>
  <sheetFormatPr baseColWidth="10" defaultRowHeight="15" x14ac:dyDescent="0.25"/>
  <cols>
    <col min="1" max="1" width="2.7109375" style="106" customWidth="1"/>
    <col min="2" max="2" width="11.42578125" style="106"/>
    <col min="3" max="3" width="28.7109375" style="106" customWidth="1"/>
    <col min="4" max="8" width="24.42578125" style="106" customWidth="1"/>
    <col min="9" max="9" width="11.42578125" style="106" customWidth="1"/>
    <col min="10" max="12" width="9.42578125" style="106" hidden="1" customWidth="1"/>
    <col min="13" max="13" width="6.28515625" style="106" hidden="1" customWidth="1"/>
    <col min="14" max="39" width="11.42578125" style="106" hidden="1" customWidth="1"/>
    <col min="40" max="16384" width="11.42578125" style="106"/>
  </cols>
  <sheetData>
    <row r="1" spans="2:39" ht="7.5" customHeight="1" thickBot="1" x14ac:dyDescent="0.3"/>
    <row r="2" spans="2:39" s="105" customFormat="1" ht="45" customHeight="1" x14ac:dyDescent="0.65">
      <c r="B2" s="46"/>
      <c r="C2" s="90" t="s">
        <v>34</v>
      </c>
      <c r="D2" s="47"/>
      <c r="E2" s="47"/>
      <c r="F2" s="47"/>
      <c r="G2" s="47"/>
      <c r="H2" s="47"/>
      <c r="I2" s="4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2:39" s="105" customFormat="1" ht="45" customHeight="1" x14ac:dyDescent="0.65">
      <c r="B3" s="91"/>
      <c r="C3" s="92"/>
      <c r="D3" s="49"/>
      <c r="E3" s="49"/>
      <c r="F3" s="49"/>
      <c r="G3" s="49"/>
      <c r="H3" s="49"/>
      <c r="I3" s="5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s="105" customFormat="1" ht="25.5" customHeight="1" thickBot="1" x14ac:dyDescent="0.3">
      <c r="B4" s="91"/>
      <c r="C4" s="93" t="s">
        <v>37</v>
      </c>
      <c r="D4" s="142">
        <v>7</v>
      </c>
      <c r="E4" s="49"/>
      <c r="F4" s="49"/>
      <c r="G4" s="49"/>
      <c r="H4" s="49"/>
      <c r="I4" s="94"/>
      <c r="J4" s="52"/>
      <c r="K4" s="52"/>
      <c r="L4" s="5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ht="29.25" thickBot="1" x14ac:dyDescent="0.3">
      <c r="B5" s="95"/>
      <c r="C5" s="13"/>
      <c r="D5" s="14" t="s">
        <v>25</v>
      </c>
      <c r="E5" s="26" t="s">
        <v>24</v>
      </c>
      <c r="F5" s="96"/>
      <c r="G5" s="96"/>
      <c r="H5" s="99"/>
      <c r="I5" s="101"/>
      <c r="J5" s="4" t="s">
        <v>11</v>
      </c>
      <c r="K5" s="4" t="s">
        <v>59</v>
      </c>
      <c r="L5" s="4" t="s">
        <v>60</v>
      </c>
      <c r="M5" s="4" t="s">
        <v>40</v>
      </c>
      <c r="N5" s="4" t="s">
        <v>16</v>
      </c>
      <c r="O5" s="4" t="s">
        <v>61</v>
      </c>
      <c r="P5" s="4" t="s">
        <v>17</v>
      </c>
      <c r="Q5" s="4" t="s">
        <v>44</v>
      </c>
      <c r="R5" s="4"/>
      <c r="S5" s="4"/>
      <c r="T5" s="4">
        <v>1</v>
      </c>
      <c r="U5" s="4">
        <v>2</v>
      </c>
      <c r="V5" s="4">
        <v>3</v>
      </c>
      <c r="W5" s="4">
        <v>4</v>
      </c>
      <c r="X5" s="4">
        <v>5</v>
      </c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>
        <v>11</v>
      </c>
      <c r="AE5" s="4">
        <v>12</v>
      </c>
      <c r="AF5" s="4">
        <v>13</v>
      </c>
      <c r="AG5" s="4">
        <v>14</v>
      </c>
      <c r="AH5" s="4">
        <v>15</v>
      </c>
      <c r="AI5" s="4">
        <v>16</v>
      </c>
      <c r="AJ5" s="4">
        <v>17</v>
      </c>
      <c r="AK5" s="4">
        <v>18</v>
      </c>
      <c r="AL5" s="4">
        <v>19</v>
      </c>
      <c r="AM5" s="4">
        <v>20</v>
      </c>
    </row>
    <row r="6" spans="2:39" ht="28.5" x14ac:dyDescent="0.25">
      <c r="B6" s="95"/>
      <c r="C6" s="17" t="str">
        <f>PA</f>
        <v>Parti A</v>
      </c>
      <c r="D6" s="61"/>
      <c r="E6" s="29" t="str">
        <f>IF($D$9="","",D6/$D$9)</f>
        <v/>
      </c>
      <c r="F6" s="96"/>
      <c r="G6" s="99"/>
      <c r="H6" s="99"/>
      <c r="I6" s="101"/>
      <c r="J6" s="4" t="str">
        <f>PA</f>
        <v>Parti A</v>
      </c>
      <c r="K6" s="4" t="e">
        <f>RANK(O6,$O$6:$O$8)</f>
        <v>#VALUE!</v>
      </c>
      <c r="L6" s="4" t="e">
        <f>AK25</f>
        <v>#VALUE!</v>
      </c>
      <c r="M6" s="4" t="str">
        <f>J6</f>
        <v>Parti A</v>
      </c>
      <c r="N6" s="45" t="str">
        <f>E6</f>
        <v/>
      </c>
      <c r="O6" s="4" t="str">
        <f>IF($Q$9="","",S14)</f>
        <v/>
      </c>
      <c r="P6" s="5" t="str">
        <f>IFERROR(O6/$O$9,"")</f>
        <v/>
      </c>
      <c r="Q6" s="4">
        <f>D6</f>
        <v>0</v>
      </c>
      <c r="R6" s="4"/>
      <c r="S6" s="4" t="s">
        <v>31</v>
      </c>
      <c r="T6" s="4">
        <f>$D6/T$5</f>
        <v>0</v>
      </c>
      <c r="U6" s="4">
        <f t="shared" ref="U6:AJ8" si="0">$D6/U$5</f>
        <v>0</v>
      </c>
      <c r="V6" s="4">
        <f t="shared" si="0"/>
        <v>0</v>
      </c>
      <c r="W6" s="4">
        <f t="shared" si="0"/>
        <v>0</v>
      </c>
      <c r="X6" s="4">
        <f t="shared" si="0"/>
        <v>0</v>
      </c>
      <c r="Y6" s="4">
        <f t="shared" si="0"/>
        <v>0</v>
      </c>
      <c r="Z6" s="4">
        <f t="shared" si="0"/>
        <v>0</v>
      </c>
      <c r="AA6" s="4">
        <f t="shared" si="0"/>
        <v>0</v>
      </c>
      <c r="AB6" s="4">
        <f t="shared" si="0"/>
        <v>0</v>
      </c>
      <c r="AC6" s="4">
        <f t="shared" si="0"/>
        <v>0</v>
      </c>
      <c r="AD6" s="4">
        <f t="shared" si="0"/>
        <v>0</v>
      </c>
      <c r="AE6" s="4">
        <f t="shared" si="0"/>
        <v>0</v>
      </c>
      <c r="AF6" s="4">
        <f t="shared" si="0"/>
        <v>0</v>
      </c>
      <c r="AG6" s="4">
        <f t="shared" si="0"/>
        <v>0</v>
      </c>
      <c r="AH6" s="4">
        <f t="shared" si="0"/>
        <v>0</v>
      </c>
      <c r="AI6" s="4">
        <f t="shared" si="0"/>
        <v>0</v>
      </c>
      <c r="AJ6" s="4">
        <f t="shared" si="0"/>
        <v>0</v>
      </c>
      <c r="AK6" s="4">
        <f t="shared" ref="AK6:AM8" si="1">$D6/AK$5</f>
        <v>0</v>
      </c>
      <c r="AL6" s="4">
        <f t="shared" si="1"/>
        <v>0</v>
      </c>
      <c r="AM6" s="4">
        <f t="shared" si="1"/>
        <v>0</v>
      </c>
    </row>
    <row r="7" spans="2:39" ht="28.5" x14ac:dyDescent="0.25">
      <c r="B7" s="95"/>
      <c r="C7" s="17" t="str">
        <f>PB</f>
        <v>Parti B</v>
      </c>
      <c r="D7" s="61"/>
      <c r="E7" s="29" t="str">
        <f t="shared" ref="E7:E8" si="2">IF($D$9="","",D7/$D$9)</f>
        <v/>
      </c>
      <c r="F7" s="96"/>
      <c r="G7" s="99"/>
      <c r="H7" s="99"/>
      <c r="I7" s="101"/>
      <c r="J7" s="4" t="str">
        <f>PB</f>
        <v>Parti B</v>
      </c>
      <c r="K7" s="4" t="e">
        <f>RANK(O7,$O$6:$O$8)</f>
        <v>#VALUE!</v>
      </c>
      <c r="L7" s="4" t="e">
        <f t="shared" ref="L7:L8" si="3">AK26</f>
        <v>#VALUE!</v>
      </c>
      <c r="M7" s="4" t="str">
        <f>J7</f>
        <v>Parti B</v>
      </c>
      <c r="N7" s="45" t="str">
        <f>E7</f>
        <v/>
      </c>
      <c r="O7" s="4" t="str">
        <f>IF($Q$9="","",S16)</f>
        <v/>
      </c>
      <c r="P7" s="5" t="str">
        <f t="shared" ref="P7:P8" si="4">IFERROR(O7/$O$9,"")</f>
        <v/>
      </c>
      <c r="Q7" s="4">
        <f>D7</f>
        <v>0</v>
      </c>
      <c r="R7" s="4"/>
      <c r="S7" s="4" t="s">
        <v>32</v>
      </c>
      <c r="T7" s="4">
        <f t="shared" ref="T7:T8" si="5">$D7/T$5</f>
        <v>0</v>
      </c>
      <c r="U7" s="4">
        <f t="shared" si="0"/>
        <v>0</v>
      </c>
      <c r="V7" s="4">
        <f t="shared" si="0"/>
        <v>0</v>
      </c>
      <c r="W7" s="4">
        <f t="shared" si="0"/>
        <v>0</v>
      </c>
      <c r="X7" s="4">
        <f t="shared" si="0"/>
        <v>0</v>
      </c>
      <c r="Y7" s="4">
        <f t="shared" si="0"/>
        <v>0</v>
      </c>
      <c r="Z7" s="4">
        <f t="shared" si="0"/>
        <v>0</v>
      </c>
      <c r="AA7" s="4">
        <f t="shared" si="0"/>
        <v>0</v>
      </c>
      <c r="AB7" s="4">
        <f t="shared" si="0"/>
        <v>0</v>
      </c>
      <c r="AC7" s="4">
        <f t="shared" si="0"/>
        <v>0</v>
      </c>
      <c r="AD7" s="4">
        <f t="shared" si="0"/>
        <v>0</v>
      </c>
      <c r="AE7" s="4">
        <f t="shared" si="0"/>
        <v>0</v>
      </c>
      <c r="AF7" s="4">
        <f t="shared" si="0"/>
        <v>0</v>
      </c>
      <c r="AG7" s="4">
        <f t="shared" si="0"/>
        <v>0</v>
      </c>
      <c r="AH7" s="4">
        <f t="shared" si="0"/>
        <v>0</v>
      </c>
      <c r="AI7" s="4">
        <f t="shared" si="0"/>
        <v>0</v>
      </c>
      <c r="AJ7" s="4">
        <f t="shared" si="0"/>
        <v>0</v>
      </c>
      <c r="AK7" s="4">
        <f t="shared" si="1"/>
        <v>0</v>
      </c>
      <c r="AL7" s="4">
        <f t="shared" si="1"/>
        <v>0</v>
      </c>
      <c r="AM7" s="4">
        <f t="shared" si="1"/>
        <v>0</v>
      </c>
    </row>
    <row r="8" spans="2:39" ht="29.25" thickBot="1" x14ac:dyDescent="0.3">
      <c r="B8" s="95"/>
      <c r="C8" s="19" t="str">
        <f>PC</f>
        <v>Parti C</v>
      </c>
      <c r="D8" s="62"/>
      <c r="E8" s="30" t="str">
        <f t="shared" si="2"/>
        <v/>
      </c>
      <c r="F8" s="96"/>
      <c r="G8" s="99"/>
      <c r="H8" s="99"/>
      <c r="I8" s="101"/>
      <c r="J8" s="4" t="str">
        <f>PC</f>
        <v>Parti C</v>
      </c>
      <c r="K8" s="4" t="e">
        <f>RANK(O8,$O$6:$O$8)</f>
        <v>#VALUE!</v>
      </c>
      <c r="L8" s="4" t="e">
        <f t="shared" si="3"/>
        <v>#VALUE!</v>
      </c>
      <c r="M8" s="4" t="str">
        <f>J8</f>
        <v>Parti C</v>
      </c>
      <c r="N8" s="45" t="str">
        <f>E8</f>
        <v/>
      </c>
      <c r="O8" s="4" t="str">
        <f>IF($Q$9="","",S17)</f>
        <v/>
      </c>
      <c r="P8" s="5" t="str">
        <f t="shared" si="4"/>
        <v/>
      </c>
      <c r="Q8" s="4">
        <f>D8</f>
        <v>0</v>
      </c>
      <c r="R8" s="4"/>
      <c r="S8" s="4" t="s">
        <v>33</v>
      </c>
      <c r="T8" s="4">
        <f t="shared" si="5"/>
        <v>0</v>
      </c>
      <c r="U8" s="4">
        <f t="shared" si="0"/>
        <v>0</v>
      </c>
      <c r="V8" s="4">
        <f t="shared" si="0"/>
        <v>0</v>
      </c>
      <c r="W8" s="4">
        <f t="shared" si="0"/>
        <v>0</v>
      </c>
      <c r="X8" s="4">
        <f t="shared" si="0"/>
        <v>0</v>
      </c>
      <c r="Y8" s="4">
        <f t="shared" si="0"/>
        <v>0</v>
      </c>
      <c r="Z8" s="4">
        <f t="shared" si="0"/>
        <v>0</v>
      </c>
      <c r="AA8" s="4">
        <f t="shared" si="0"/>
        <v>0</v>
      </c>
      <c r="AB8" s="4">
        <f t="shared" si="0"/>
        <v>0</v>
      </c>
      <c r="AC8" s="4">
        <f t="shared" si="0"/>
        <v>0</v>
      </c>
      <c r="AD8" s="4">
        <f t="shared" si="0"/>
        <v>0</v>
      </c>
      <c r="AE8" s="4">
        <f t="shared" si="0"/>
        <v>0</v>
      </c>
      <c r="AF8" s="4">
        <f t="shared" si="0"/>
        <v>0</v>
      </c>
      <c r="AG8" s="4">
        <f t="shared" si="0"/>
        <v>0</v>
      </c>
      <c r="AH8" s="4">
        <f t="shared" si="0"/>
        <v>0</v>
      </c>
      <c r="AI8" s="4">
        <f t="shared" si="0"/>
        <v>0</v>
      </c>
      <c r="AJ8" s="4">
        <f t="shared" si="0"/>
        <v>0</v>
      </c>
      <c r="AK8" s="4">
        <f t="shared" si="1"/>
        <v>0</v>
      </c>
      <c r="AL8" s="4">
        <f t="shared" si="1"/>
        <v>0</v>
      </c>
      <c r="AM8" s="4">
        <f t="shared" si="1"/>
        <v>0</v>
      </c>
    </row>
    <row r="9" spans="2:39" ht="28.5" x14ac:dyDescent="0.25">
      <c r="B9" s="95"/>
      <c r="C9" s="96"/>
      <c r="D9" s="143" t="str">
        <f>IF(D8="","",SUM(D6:D8))</f>
        <v/>
      </c>
      <c r="E9" s="96"/>
      <c r="F9" s="96"/>
      <c r="G9" s="99"/>
      <c r="H9" s="99"/>
      <c r="I9" s="101"/>
      <c r="J9" s="4"/>
      <c r="K9" s="4"/>
      <c r="L9" s="4"/>
      <c r="M9" s="4"/>
      <c r="N9" s="4"/>
      <c r="O9" s="4">
        <f>SUM(O6:O8)</f>
        <v>0</v>
      </c>
      <c r="P9" s="4"/>
      <c r="Q9" s="4" t="str">
        <f>D9</f>
        <v/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2:39" ht="29.25" thickBot="1" x14ac:dyDescent="0.3">
      <c r="B10" s="95"/>
      <c r="C10" s="96"/>
      <c r="D10" s="96"/>
      <c r="E10" s="96"/>
      <c r="F10" s="96"/>
      <c r="G10" s="99"/>
      <c r="H10" s="99"/>
      <c r="I10" s="101"/>
      <c r="J10" s="4"/>
      <c r="K10" s="4"/>
      <c r="L10" s="4"/>
      <c r="M10" s="4"/>
      <c r="N10" s="4"/>
      <c r="O10" s="4"/>
      <c r="P10" s="4"/>
      <c r="Q10" s="4"/>
      <c r="R10" s="4"/>
      <c r="S10" s="4"/>
      <c r="T10" s="4">
        <f t="shared" ref="T10:AM10" si="6">RANK(T6,$T$6:$AM$8)</f>
        <v>1</v>
      </c>
      <c r="U10" s="4">
        <f t="shared" si="6"/>
        <v>1</v>
      </c>
      <c r="V10" s="4">
        <f t="shared" si="6"/>
        <v>1</v>
      </c>
      <c r="W10" s="4">
        <f t="shared" si="6"/>
        <v>1</v>
      </c>
      <c r="X10" s="4">
        <f t="shared" si="6"/>
        <v>1</v>
      </c>
      <c r="Y10" s="4">
        <f t="shared" si="6"/>
        <v>1</v>
      </c>
      <c r="Z10" s="4">
        <f t="shared" si="6"/>
        <v>1</v>
      </c>
      <c r="AA10" s="4">
        <f t="shared" si="6"/>
        <v>1</v>
      </c>
      <c r="AB10" s="4">
        <f t="shared" si="6"/>
        <v>1</v>
      </c>
      <c r="AC10" s="4">
        <f t="shared" si="6"/>
        <v>1</v>
      </c>
      <c r="AD10" s="4">
        <f t="shared" si="6"/>
        <v>1</v>
      </c>
      <c r="AE10" s="4">
        <f t="shared" si="6"/>
        <v>1</v>
      </c>
      <c r="AF10" s="4">
        <f t="shared" si="6"/>
        <v>1</v>
      </c>
      <c r="AG10" s="4">
        <f t="shared" si="6"/>
        <v>1</v>
      </c>
      <c r="AH10" s="4">
        <f t="shared" si="6"/>
        <v>1</v>
      </c>
      <c r="AI10" s="4">
        <f t="shared" si="6"/>
        <v>1</v>
      </c>
      <c r="AJ10" s="4">
        <f t="shared" si="6"/>
        <v>1</v>
      </c>
      <c r="AK10" s="4">
        <f t="shared" si="6"/>
        <v>1</v>
      </c>
      <c r="AL10" s="4">
        <f t="shared" si="6"/>
        <v>1</v>
      </c>
      <c r="AM10" s="4">
        <f t="shared" si="6"/>
        <v>1</v>
      </c>
    </row>
    <row r="11" spans="2:39" ht="57.75" thickBot="1" x14ac:dyDescent="0.3">
      <c r="B11" s="95"/>
      <c r="C11" s="13"/>
      <c r="D11" s="153" t="s">
        <v>11</v>
      </c>
      <c r="E11" s="153"/>
      <c r="F11" s="43" t="s">
        <v>8</v>
      </c>
      <c r="G11" s="43" t="s">
        <v>45</v>
      </c>
      <c r="H11" s="44" t="s">
        <v>9</v>
      </c>
      <c r="I11" s="101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f t="shared" ref="T11:AM11" si="7">RANK(T7,$T$6:$AM$8)</f>
        <v>1</v>
      </c>
      <c r="U11" s="4">
        <f t="shared" si="7"/>
        <v>1</v>
      </c>
      <c r="V11" s="4">
        <f t="shared" si="7"/>
        <v>1</v>
      </c>
      <c r="W11" s="4">
        <f t="shared" si="7"/>
        <v>1</v>
      </c>
      <c r="X11" s="4">
        <f t="shared" si="7"/>
        <v>1</v>
      </c>
      <c r="Y11" s="4">
        <f t="shared" si="7"/>
        <v>1</v>
      </c>
      <c r="Z11" s="4">
        <f t="shared" si="7"/>
        <v>1</v>
      </c>
      <c r="AA11" s="4">
        <f t="shared" si="7"/>
        <v>1</v>
      </c>
      <c r="AB11" s="4">
        <f t="shared" si="7"/>
        <v>1</v>
      </c>
      <c r="AC11" s="4">
        <f t="shared" si="7"/>
        <v>1</v>
      </c>
      <c r="AD11" s="4">
        <f t="shared" si="7"/>
        <v>1</v>
      </c>
      <c r="AE11" s="4">
        <f t="shared" si="7"/>
        <v>1</v>
      </c>
      <c r="AF11" s="4">
        <f t="shared" si="7"/>
        <v>1</v>
      </c>
      <c r="AG11" s="4">
        <f t="shared" si="7"/>
        <v>1</v>
      </c>
      <c r="AH11" s="4">
        <f t="shared" si="7"/>
        <v>1</v>
      </c>
      <c r="AI11" s="4">
        <f t="shared" si="7"/>
        <v>1</v>
      </c>
      <c r="AJ11" s="4">
        <f t="shared" si="7"/>
        <v>1</v>
      </c>
      <c r="AK11" s="4">
        <f t="shared" si="7"/>
        <v>1</v>
      </c>
      <c r="AL11" s="4">
        <f t="shared" si="7"/>
        <v>1</v>
      </c>
      <c r="AM11" s="4">
        <f t="shared" si="7"/>
        <v>1</v>
      </c>
    </row>
    <row r="12" spans="2:39" ht="28.5" x14ac:dyDescent="0.25">
      <c r="B12" s="95"/>
      <c r="C12" s="41" t="s">
        <v>3</v>
      </c>
      <c r="D12" s="145" t="str">
        <f>IFERROR(VLOOKUP($I12,$L$6:$P$8,2,FALSE),"")</f>
        <v/>
      </c>
      <c r="E12" s="146"/>
      <c r="F12" s="36" t="str">
        <f>IFERROR(VLOOKUP($I12,$L$6:$P$8,3,FALSE),"")</f>
        <v/>
      </c>
      <c r="G12" s="38" t="str">
        <f>IFERROR(VLOOKUP($I12,$L$6:$P$8,4,FALSE),"")</f>
        <v/>
      </c>
      <c r="H12" s="37" t="str">
        <f>IFERROR(VLOOKUP($I12,$L$6:$P$8,5,FALSE),"")</f>
        <v/>
      </c>
      <c r="I12" s="108">
        <v>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>
        <f t="shared" ref="T12:AM12" si="8">RANK(T8,$T$6:$AM$8)</f>
        <v>1</v>
      </c>
      <c r="U12" s="4">
        <f t="shared" si="8"/>
        <v>1</v>
      </c>
      <c r="V12" s="4">
        <f t="shared" si="8"/>
        <v>1</v>
      </c>
      <c r="W12" s="4">
        <f t="shared" si="8"/>
        <v>1</v>
      </c>
      <c r="X12" s="4">
        <f t="shared" si="8"/>
        <v>1</v>
      </c>
      <c r="Y12" s="4">
        <f t="shared" si="8"/>
        <v>1</v>
      </c>
      <c r="Z12" s="4">
        <f t="shared" si="8"/>
        <v>1</v>
      </c>
      <c r="AA12" s="4">
        <f t="shared" si="8"/>
        <v>1</v>
      </c>
      <c r="AB12" s="4">
        <f t="shared" si="8"/>
        <v>1</v>
      </c>
      <c r="AC12" s="4">
        <f t="shared" si="8"/>
        <v>1</v>
      </c>
      <c r="AD12" s="4">
        <f t="shared" si="8"/>
        <v>1</v>
      </c>
      <c r="AE12" s="4">
        <f t="shared" si="8"/>
        <v>1</v>
      </c>
      <c r="AF12" s="4">
        <f t="shared" si="8"/>
        <v>1</v>
      </c>
      <c r="AG12" s="4">
        <f t="shared" si="8"/>
        <v>1</v>
      </c>
      <c r="AH12" s="4">
        <f t="shared" si="8"/>
        <v>1</v>
      </c>
      <c r="AI12" s="4">
        <f t="shared" si="8"/>
        <v>1</v>
      </c>
      <c r="AJ12" s="4">
        <f t="shared" si="8"/>
        <v>1</v>
      </c>
      <c r="AK12" s="4">
        <f t="shared" si="8"/>
        <v>1</v>
      </c>
      <c r="AL12" s="4">
        <f t="shared" si="8"/>
        <v>1</v>
      </c>
      <c r="AM12" s="4">
        <f t="shared" si="8"/>
        <v>1</v>
      </c>
    </row>
    <row r="13" spans="2:39" ht="28.5" x14ac:dyDescent="0.25">
      <c r="B13" s="95"/>
      <c r="C13" s="41" t="s">
        <v>4</v>
      </c>
      <c r="D13" s="147" t="str">
        <f t="shared" ref="D13:D14" si="9">IFERROR(VLOOKUP($I13,$L$6:$P$8,2,FALSE),"")</f>
        <v/>
      </c>
      <c r="E13" s="148"/>
      <c r="F13" s="34" t="str">
        <f t="shared" ref="F13:F14" si="10">IFERROR(VLOOKUP($I13,$L$6:$P$8,3,FALSE),"")</f>
        <v/>
      </c>
      <c r="G13" s="39" t="str">
        <f t="shared" ref="G13:G14" si="11">IFERROR(VLOOKUP($I13,$L$6:$P$8,4,FALSE),"")</f>
        <v/>
      </c>
      <c r="H13" s="29" t="str">
        <f t="shared" ref="H13:H14" si="12">IFERROR(VLOOKUP($I13,$L$6:$P$8,5,FALSE),"")</f>
        <v/>
      </c>
      <c r="I13" s="108">
        <v>2</v>
      </c>
      <c r="J13" s="4"/>
      <c r="K13" s="4"/>
      <c r="L13" s="4"/>
      <c r="M13" s="4"/>
      <c r="N13" s="4"/>
      <c r="O13" s="4"/>
      <c r="P13" s="4"/>
      <c r="Q13" s="4"/>
      <c r="R13" s="4"/>
      <c r="S13" s="4" t="s">
        <v>62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2:39" ht="29.25" thickBot="1" x14ac:dyDescent="0.3">
      <c r="B14" s="95"/>
      <c r="C14" s="42" t="s">
        <v>5</v>
      </c>
      <c r="D14" s="149" t="str">
        <f t="shared" si="9"/>
        <v/>
      </c>
      <c r="E14" s="150"/>
      <c r="F14" s="35" t="str">
        <f t="shared" si="10"/>
        <v/>
      </c>
      <c r="G14" s="40" t="str">
        <f t="shared" si="11"/>
        <v/>
      </c>
      <c r="H14" s="30" t="str">
        <f t="shared" si="12"/>
        <v/>
      </c>
      <c r="I14" s="108">
        <v>3</v>
      </c>
      <c r="J14" s="4"/>
      <c r="K14" s="4"/>
      <c r="L14" s="4"/>
      <c r="M14" s="4"/>
      <c r="N14" s="4"/>
      <c r="O14" s="4"/>
      <c r="P14" s="4"/>
      <c r="Q14" s="4"/>
      <c r="R14" s="4"/>
      <c r="S14" s="4">
        <f>SUM(T14:AM14)</f>
        <v>20</v>
      </c>
      <c r="T14" s="4">
        <f>IF(T10&lt;($D$4+1),1,0)</f>
        <v>1</v>
      </c>
      <c r="U14" s="4">
        <f t="shared" ref="U14:AM14" si="13">IF(U10&lt;($D$4+1),1,0)</f>
        <v>1</v>
      </c>
      <c r="V14" s="4">
        <f t="shared" si="13"/>
        <v>1</v>
      </c>
      <c r="W14" s="4">
        <f t="shared" si="13"/>
        <v>1</v>
      </c>
      <c r="X14" s="4">
        <f t="shared" si="13"/>
        <v>1</v>
      </c>
      <c r="Y14" s="4">
        <f t="shared" si="13"/>
        <v>1</v>
      </c>
      <c r="Z14" s="4">
        <f t="shared" si="13"/>
        <v>1</v>
      </c>
      <c r="AA14" s="4">
        <f t="shared" si="13"/>
        <v>1</v>
      </c>
      <c r="AB14" s="4">
        <f t="shared" si="13"/>
        <v>1</v>
      </c>
      <c r="AC14" s="4">
        <f t="shared" si="13"/>
        <v>1</v>
      </c>
      <c r="AD14" s="4">
        <f t="shared" si="13"/>
        <v>1</v>
      </c>
      <c r="AE14" s="4">
        <f t="shared" si="13"/>
        <v>1</v>
      </c>
      <c r="AF14" s="4">
        <f t="shared" si="13"/>
        <v>1</v>
      </c>
      <c r="AG14" s="4">
        <f t="shared" si="13"/>
        <v>1</v>
      </c>
      <c r="AH14" s="4">
        <f t="shared" si="13"/>
        <v>1</v>
      </c>
      <c r="AI14" s="4">
        <f t="shared" si="13"/>
        <v>1</v>
      </c>
      <c r="AJ14" s="4">
        <f t="shared" si="13"/>
        <v>1</v>
      </c>
      <c r="AK14" s="4">
        <f t="shared" si="13"/>
        <v>1</v>
      </c>
      <c r="AL14" s="4">
        <f t="shared" si="13"/>
        <v>1</v>
      </c>
      <c r="AM14" s="4">
        <f t="shared" si="13"/>
        <v>1</v>
      </c>
    </row>
    <row r="15" spans="2:39" ht="28.5" hidden="1" customHeight="1" x14ac:dyDescent="0.25">
      <c r="B15" s="95"/>
      <c r="C15" s="99"/>
      <c r="D15" s="99"/>
      <c r="E15" s="99"/>
      <c r="F15" s="99"/>
      <c r="G15" s="109"/>
      <c r="H15" s="29" t="str">
        <f>IF($D$9="","",G15/$O$9)</f>
        <v/>
      </c>
      <c r="I15" s="101"/>
      <c r="J15" s="4"/>
      <c r="K15" s="4"/>
      <c r="L15" s="4"/>
      <c r="M15" s="4"/>
      <c r="N15" s="4"/>
      <c r="O15" s="4"/>
      <c r="P15" s="4"/>
      <c r="Q15" s="4"/>
      <c r="R15" s="4"/>
      <c r="S15" s="4">
        <f t="shared" ref="S15:S17" si="14">SUM(T15:AM15)</f>
        <v>20</v>
      </c>
      <c r="T15" s="4">
        <f t="shared" ref="T15" si="15">IF(T11&lt;($D$4+1),1,0)</f>
        <v>1</v>
      </c>
      <c r="U15" s="4">
        <f t="shared" ref="U15:AM15" si="16">IF(U11&lt;($D$4+1),1,0)</f>
        <v>1</v>
      </c>
      <c r="V15" s="4">
        <f t="shared" si="16"/>
        <v>1</v>
      </c>
      <c r="W15" s="4">
        <f t="shared" si="16"/>
        <v>1</v>
      </c>
      <c r="X15" s="4">
        <f t="shared" si="16"/>
        <v>1</v>
      </c>
      <c r="Y15" s="4">
        <f t="shared" si="16"/>
        <v>1</v>
      </c>
      <c r="Z15" s="4">
        <f t="shared" si="16"/>
        <v>1</v>
      </c>
      <c r="AA15" s="4">
        <f t="shared" si="16"/>
        <v>1</v>
      </c>
      <c r="AB15" s="4">
        <f t="shared" si="16"/>
        <v>1</v>
      </c>
      <c r="AC15" s="4">
        <f t="shared" si="16"/>
        <v>1</v>
      </c>
      <c r="AD15" s="4">
        <f t="shared" si="16"/>
        <v>1</v>
      </c>
      <c r="AE15" s="4">
        <f t="shared" si="16"/>
        <v>1</v>
      </c>
      <c r="AF15" s="4">
        <f t="shared" si="16"/>
        <v>1</v>
      </c>
      <c r="AG15" s="4">
        <f t="shared" si="16"/>
        <v>1</v>
      </c>
      <c r="AH15" s="4">
        <f t="shared" si="16"/>
        <v>1</v>
      </c>
      <c r="AI15" s="4">
        <f t="shared" si="16"/>
        <v>1</v>
      </c>
      <c r="AJ15" s="4">
        <f t="shared" si="16"/>
        <v>1</v>
      </c>
      <c r="AK15" s="4">
        <f t="shared" si="16"/>
        <v>1</v>
      </c>
      <c r="AL15" s="4">
        <f t="shared" si="16"/>
        <v>1</v>
      </c>
      <c r="AM15" s="4">
        <f t="shared" si="16"/>
        <v>1</v>
      </c>
    </row>
    <row r="16" spans="2:39" x14ac:dyDescent="0.25">
      <c r="B16" s="95"/>
      <c r="C16" s="99"/>
      <c r="D16" s="99"/>
      <c r="E16" s="99"/>
      <c r="F16" s="99"/>
      <c r="G16" s="109"/>
      <c r="H16" s="99"/>
      <c r="I16" s="101"/>
      <c r="J16" s="4"/>
      <c r="K16" s="4"/>
      <c r="L16" s="4"/>
      <c r="M16" s="4"/>
      <c r="N16" s="4"/>
      <c r="O16" s="4"/>
      <c r="P16" s="4"/>
      <c r="Q16" s="4"/>
      <c r="R16" s="4"/>
      <c r="S16" s="4">
        <f t="shared" si="14"/>
        <v>20</v>
      </c>
      <c r="T16" s="4">
        <f>IF(T11&lt;($D$4+1),1,0)</f>
        <v>1</v>
      </c>
      <c r="U16" s="4">
        <f t="shared" ref="U16:AM16" si="17">IF(U11&lt;($D$4+1),1,0)</f>
        <v>1</v>
      </c>
      <c r="V16" s="4">
        <f t="shared" si="17"/>
        <v>1</v>
      </c>
      <c r="W16" s="4">
        <f t="shared" si="17"/>
        <v>1</v>
      </c>
      <c r="X16" s="4">
        <f t="shared" si="17"/>
        <v>1</v>
      </c>
      <c r="Y16" s="4">
        <f t="shared" si="17"/>
        <v>1</v>
      </c>
      <c r="Z16" s="4">
        <f t="shared" si="17"/>
        <v>1</v>
      </c>
      <c r="AA16" s="4">
        <f t="shared" si="17"/>
        <v>1</v>
      </c>
      <c r="AB16" s="4">
        <f t="shared" si="17"/>
        <v>1</v>
      </c>
      <c r="AC16" s="4">
        <f t="shared" si="17"/>
        <v>1</v>
      </c>
      <c r="AD16" s="4">
        <f t="shared" si="17"/>
        <v>1</v>
      </c>
      <c r="AE16" s="4">
        <f t="shared" si="17"/>
        <v>1</v>
      </c>
      <c r="AF16" s="4">
        <f t="shared" si="17"/>
        <v>1</v>
      </c>
      <c r="AG16" s="4">
        <f t="shared" si="17"/>
        <v>1</v>
      </c>
      <c r="AH16" s="4">
        <f t="shared" si="17"/>
        <v>1</v>
      </c>
      <c r="AI16" s="4">
        <f t="shared" si="17"/>
        <v>1</v>
      </c>
      <c r="AJ16" s="4">
        <f t="shared" si="17"/>
        <v>1</v>
      </c>
      <c r="AK16" s="4">
        <f t="shared" si="17"/>
        <v>1</v>
      </c>
      <c r="AL16" s="4">
        <f t="shared" si="17"/>
        <v>1</v>
      </c>
      <c r="AM16" s="4">
        <f t="shared" si="17"/>
        <v>1</v>
      </c>
    </row>
    <row r="17" spans="2:39" x14ac:dyDescent="0.25">
      <c r="B17" s="95"/>
      <c r="C17" s="99"/>
      <c r="D17" s="99"/>
      <c r="E17" s="99"/>
      <c r="F17" s="99"/>
      <c r="G17" s="99"/>
      <c r="H17" s="99"/>
      <c r="I17" s="101"/>
      <c r="J17" s="4"/>
      <c r="K17" s="4"/>
      <c r="L17" s="4"/>
      <c r="M17" s="4"/>
      <c r="N17" s="4"/>
      <c r="O17" s="4"/>
      <c r="P17" s="4"/>
      <c r="Q17" s="4"/>
      <c r="R17" s="4"/>
      <c r="S17" s="4">
        <f t="shared" si="14"/>
        <v>20</v>
      </c>
      <c r="T17" s="4">
        <f>IF(T12&lt;($D$4+1),1,0)</f>
        <v>1</v>
      </c>
      <c r="U17" s="4">
        <f t="shared" ref="U17:AM17" si="18">IF(U12&lt;($D$4+1),1,0)</f>
        <v>1</v>
      </c>
      <c r="V17" s="4">
        <f t="shared" si="18"/>
        <v>1</v>
      </c>
      <c r="W17" s="4">
        <f t="shared" si="18"/>
        <v>1</v>
      </c>
      <c r="X17" s="4">
        <f t="shared" si="18"/>
        <v>1</v>
      </c>
      <c r="Y17" s="4">
        <f t="shared" si="18"/>
        <v>1</v>
      </c>
      <c r="Z17" s="4">
        <f t="shared" si="18"/>
        <v>1</v>
      </c>
      <c r="AA17" s="4">
        <f t="shared" si="18"/>
        <v>1</v>
      </c>
      <c r="AB17" s="4">
        <f t="shared" si="18"/>
        <v>1</v>
      </c>
      <c r="AC17" s="4">
        <f t="shared" si="18"/>
        <v>1</v>
      </c>
      <c r="AD17" s="4">
        <f t="shared" si="18"/>
        <v>1</v>
      </c>
      <c r="AE17" s="4">
        <f t="shared" si="18"/>
        <v>1</v>
      </c>
      <c r="AF17" s="4">
        <f t="shared" si="18"/>
        <v>1</v>
      </c>
      <c r="AG17" s="4">
        <f t="shared" si="18"/>
        <v>1</v>
      </c>
      <c r="AH17" s="4">
        <f t="shared" si="18"/>
        <v>1</v>
      </c>
      <c r="AI17" s="4">
        <f t="shared" si="18"/>
        <v>1</v>
      </c>
      <c r="AJ17" s="4">
        <f t="shared" si="18"/>
        <v>1</v>
      </c>
      <c r="AK17" s="4">
        <f t="shared" si="18"/>
        <v>1</v>
      </c>
      <c r="AL17" s="4">
        <f t="shared" si="18"/>
        <v>1</v>
      </c>
      <c r="AM17" s="4">
        <f t="shared" si="18"/>
        <v>1</v>
      </c>
    </row>
    <row r="18" spans="2:39" x14ac:dyDescent="0.25">
      <c r="B18" s="95"/>
      <c r="C18" s="99"/>
      <c r="D18" s="99"/>
      <c r="E18" s="99"/>
      <c r="F18" s="99"/>
      <c r="G18" s="99"/>
      <c r="H18" s="99"/>
      <c r="I18" s="10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2:39" x14ac:dyDescent="0.25">
      <c r="B19" s="95"/>
      <c r="C19" s="99"/>
      <c r="D19" s="99"/>
      <c r="E19" s="99"/>
      <c r="F19" s="99"/>
      <c r="G19" s="99"/>
      <c r="H19" s="99"/>
      <c r="I19" s="10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2:39" x14ac:dyDescent="0.25">
      <c r="B20" s="95"/>
      <c r="C20" s="99"/>
      <c r="D20" s="99"/>
      <c r="E20" s="99"/>
      <c r="F20" s="99"/>
      <c r="G20" s="99"/>
      <c r="H20" s="99"/>
      <c r="I20" s="10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2:39" x14ac:dyDescent="0.25">
      <c r="B21" s="95"/>
      <c r="C21" s="99"/>
      <c r="D21" s="99"/>
      <c r="E21" s="99"/>
      <c r="F21" s="99"/>
      <c r="G21" s="99"/>
      <c r="H21" s="99"/>
      <c r="I21" s="10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2:39" ht="15.75" thickBot="1" x14ac:dyDescent="0.3">
      <c r="B22" s="102"/>
      <c r="C22" s="103"/>
      <c r="D22" s="103"/>
      <c r="E22" s="103"/>
      <c r="F22" s="103"/>
      <c r="G22" s="103"/>
      <c r="H22" s="103"/>
      <c r="I22" s="10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2:39" ht="15.75" thickBot="1" x14ac:dyDescent="0.3"/>
    <row r="24" spans="2:39" ht="15.75" thickBot="1" x14ac:dyDescent="0.3">
      <c r="S24" s="110" t="s">
        <v>51</v>
      </c>
      <c r="T24" s="111" t="s">
        <v>52</v>
      </c>
      <c r="U24" s="111" t="s">
        <v>53</v>
      </c>
      <c r="V24" s="111" t="s">
        <v>54</v>
      </c>
      <c r="W24" s="111" t="s">
        <v>55</v>
      </c>
      <c r="X24" s="111" t="s">
        <v>56</v>
      </c>
      <c r="Y24" s="111" t="s">
        <v>44</v>
      </c>
      <c r="Z24" s="111" t="s">
        <v>57</v>
      </c>
      <c r="AA24" s="112" t="s">
        <v>58</v>
      </c>
      <c r="AB24" s="110" t="s">
        <v>51</v>
      </c>
      <c r="AC24" s="111" t="s">
        <v>52</v>
      </c>
      <c r="AD24" s="111" t="s">
        <v>53</v>
      </c>
      <c r="AE24" s="111" t="s">
        <v>54</v>
      </c>
      <c r="AF24" s="111" t="s">
        <v>55</v>
      </c>
      <c r="AG24" s="111" t="s">
        <v>56</v>
      </c>
      <c r="AH24" s="111" t="s">
        <v>44</v>
      </c>
      <c r="AI24" s="111" t="s">
        <v>57</v>
      </c>
      <c r="AJ24" s="112" t="s">
        <v>58</v>
      </c>
      <c r="AK24" s="113" t="s">
        <v>51</v>
      </c>
    </row>
    <row r="25" spans="2:39" x14ac:dyDescent="0.25">
      <c r="S25" s="114" t="e">
        <f>K6</f>
        <v>#VALUE!</v>
      </c>
      <c r="T25" s="115" t="e">
        <f>IF(OR(S25=S26,S25=S27),"Égalité","")</f>
        <v>#VALUE!</v>
      </c>
      <c r="U25" s="115" t="e">
        <f>IF(T25="Égalité",S25,"")</f>
        <v>#VALUE!</v>
      </c>
      <c r="V25" s="115" t="e">
        <f>IF(T25="Égalité",MAX(U$25:U$27),"")</f>
        <v>#VALUE!</v>
      </c>
      <c r="W25" s="115" t="e">
        <f>IF(T25="Égalité",MIN(U$25:U$27),"")</f>
        <v>#VALUE!</v>
      </c>
      <c r="X25" s="115">
        <f>COUNTIF(S$25:S$27,S25)</f>
        <v>3</v>
      </c>
      <c r="Y25" s="115">
        <f>$D6</f>
        <v>0</v>
      </c>
      <c r="Z25" s="115" t="e">
        <f>IF(T25="Égalité",IF(S25=V25,"Égalité",""),"")</f>
        <v>#VALUE!</v>
      </c>
      <c r="AA25" s="116" t="e">
        <f>IF(T25="Égalité",IF(S25=V25,Y25,""),"")</f>
        <v>#VALUE!</v>
      </c>
      <c r="AB25" s="114" t="e">
        <f>IF(T25="Égalité",IF(AND(V25&lt;&gt;W25,U25=MAX(U$25:U$27)),IF(AA25=MIN(AA$25:AA$27),S25+(COUNTIF(Z$25:Z$27,"Égalité")-1),S25),IF(AA25=MIN(AA$25:AA$27),S25+(X25-1),S25)),S25)</f>
        <v>#VALUE!</v>
      </c>
      <c r="AC25" s="115" t="e">
        <f>IF(OR(AB25=AB26,AB25=AB27),"Égalité","")</f>
        <v>#VALUE!</v>
      </c>
      <c r="AD25" s="115" t="e">
        <f>IF(AC25="Égalité",AB25,"")</f>
        <v>#VALUE!</v>
      </c>
      <c r="AE25" s="115" t="e">
        <f>IF(AC25="Égalité",MAX(AD$25:AD$27),"")</f>
        <v>#VALUE!</v>
      </c>
      <c r="AF25" s="115" t="e">
        <f>IF(AC25="Égalité",MIN(AD$25:AD$27),"")</f>
        <v>#VALUE!</v>
      </c>
      <c r="AG25" s="115">
        <f>COUNTIF(AB$25:AB$27,AB25)</f>
        <v>3</v>
      </c>
      <c r="AH25" s="115">
        <f>$D6</f>
        <v>0</v>
      </c>
      <c r="AI25" s="115" t="e">
        <f>IF(AC25="Égalité",IF(AB25=AE25,"Égalité",""),"")</f>
        <v>#VALUE!</v>
      </c>
      <c r="AJ25" s="116" t="e">
        <f>IF(AC25="Égalité",IF(AB25=AE25,AH25,""),"")</f>
        <v>#VALUE!</v>
      </c>
      <c r="AK25" s="114" t="e">
        <f>IF(AC25="Égalité",IF(AND(AE25&lt;&gt;AF25,AD25=MAX(AD$25:AD$27)),IF(AJ25=MIN(AJ$25:AJ$27),AB25+(COUNTIF(AI$25:AI$27,"Égalité")-1),AB25),IF(AJ25=MIN(AJ$25:AJ$27),AB25+(AG25-1),AB25)),AB25)</f>
        <v>#VALUE!</v>
      </c>
    </row>
    <row r="26" spans="2:39" x14ac:dyDescent="0.25">
      <c r="S26" s="117" t="e">
        <f>K7</f>
        <v>#VALUE!</v>
      </c>
      <c r="T26" s="118" t="e">
        <f>IF(OR(S26=S27,S26=S25),"Égalité","")</f>
        <v>#VALUE!</v>
      </c>
      <c r="U26" s="118" t="e">
        <f t="shared" ref="U26:U27" si="19">IF(T26="Égalité",S26,"")</f>
        <v>#VALUE!</v>
      </c>
      <c r="V26" s="118" t="e">
        <f t="shared" ref="V26:V27" si="20">IF(T26="Égalité",MAX(U$25:U$27),"")</f>
        <v>#VALUE!</v>
      </c>
      <c r="W26" s="118" t="e">
        <f t="shared" ref="W26:W27" si="21">IF(T26="Égalité",MIN(U$25:U$27),"")</f>
        <v>#VALUE!</v>
      </c>
      <c r="X26" s="118">
        <f t="shared" ref="X26:X27" si="22">COUNTIF(S$25:S$27,S26)</f>
        <v>3</v>
      </c>
      <c r="Y26" s="118">
        <f t="shared" ref="Y26:Y27" si="23">$D7</f>
        <v>0</v>
      </c>
      <c r="Z26" s="118" t="e">
        <f t="shared" ref="Z26:Z27" si="24">IF(T26="Égalité",IF(S26=V26,"Égalité",""),"")</f>
        <v>#VALUE!</v>
      </c>
      <c r="AA26" s="119" t="e">
        <f t="shared" ref="AA26:AA27" si="25">IF(T26="Égalité",IF(S26=V26,Y26,""),"")</f>
        <v>#VALUE!</v>
      </c>
      <c r="AB26" s="117" t="e">
        <f t="shared" ref="AB26:AB27" si="26">IF(T26="Égalité",IF(AND(V26&lt;&gt;W26,U26=MAX(U$25:U$27)),IF(AA26=MIN(AA$25:AA$27),S26+(COUNTIF(Z$25:Z$27,"Égalité")-1),S26),IF(AA26=MIN(AA$25:AA$27),S26+(X26-1),S26)),S26)</f>
        <v>#VALUE!</v>
      </c>
      <c r="AC26" s="118" t="e">
        <f>IF(OR(AB26=AB27,AB26=AB25),"Égalité","")</f>
        <v>#VALUE!</v>
      </c>
      <c r="AD26" s="118" t="e">
        <f t="shared" ref="AD26:AD27" si="27">IF(AC26="Égalité",AB26,"")</f>
        <v>#VALUE!</v>
      </c>
      <c r="AE26" s="118" t="e">
        <f t="shared" ref="AE26:AE27" si="28">IF(AC26="Égalité",MAX(AD$25:AD$27),"")</f>
        <v>#VALUE!</v>
      </c>
      <c r="AF26" s="118" t="e">
        <f t="shared" ref="AF26:AF27" si="29">IF(AC26="Égalité",MIN(AD$25:AD$27),"")</f>
        <v>#VALUE!</v>
      </c>
      <c r="AG26" s="118">
        <f t="shared" ref="AG26:AG27" si="30">COUNTIF(AB$25:AB$27,AB26)</f>
        <v>3</v>
      </c>
      <c r="AH26" s="118">
        <f t="shared" ref="AH26:AH27" si="31">$D7</f>
        <v>0</v>
      </c>
      <c r="AI26" s="118" t="e">
        <f t="shared" ref="AI26:AI27" si="32">IF(AC26="Égalité",IF(AB26=AE26,"Égalité",""),"")</f>
        <v>#VALUE!</v>
      </c>
      <c r="AJ26" s="119" t="e">
        <f t="shared" ref="AJ26:AJ27" si="33">IF(AC26="Égalité",IF(AB26=AE26,AH26,""),"")</f>
        <v>#VALUE!</v>
      </c>
      <c r="AK26" s="117" t="e">
        <f t="shared" ref="AK26:AK27" si="34">IF(AC26="Égalité",IF(AND(AE26&lt;&gt;AF26,AD26=MAX(AD$25:AD$27)),IF(AJ26=MIN(AJ$25:AJ$27),AB26+(COUNTIF(AI$25:AI$27,"Égalité")-1),AB26),IF(AJ26=MIN(AJ$25:AJ$27),AB26+(AG26-1),AB26)),AB26)</f>
        <v>#VALUE!</v>
      </c>
    </row>
    <row r="27" spans="2:39" ht="15.75" thickBot="1" x14ac:dyDescent="0.3">
      <c r="S27" s="120" t="e">
        <f>K8</f>
        <v>#VALUE!</v>
      </c>
      <c r="T27" s="121" t="e">
        <f>IF(OR(S27=S26,S27=S25),"Égalité","")</f>
        <v>#VALUE!</v>
      </c>
      <c r="U27" s="121" t="e">
        <f t="shared" si="19"/>
        <v>#VALUE!</v>
      </c>
      <c r="V27" s="121" t="e">
        <f t="shared" si="20"/>
        <v>#VALUE!</v>
      </c>
      <c r="W27" s="121" t="e">
        <f t="shared" si="21"/>
        <v>#VALUE!</v>
      </c>
      <c r="X27" s="121">
        <f t="shared" si="22"/>
        <v>3</v>
      </c>
      <c r="Y27" s="121">
        <f t="shared" si="23"/>
        <v>0</v>
      </c>
      <c r="Z27" s="121" t="e">
        <f t="shared" si="24"/>
        <v>#VALUE!</v>
      </c>
      <c r="AA27" s="122" t="e">
        <f t="shared" si="25"/>
        <v>#VALUE!</v>
      </c>
      <c r="AB27" s="120" t="e">
        <f t="shared" si="26"/>
        <v>#VALUE!</v>
      </c>
      <c r="AC27" s="121" t="e">
        <f>IF(OR(AB27=AB26,AB27=AB25),"Égalité","")</f>
        <v>#VALUE!</v>
      </c>
      <c r="AD27" s="121" t="e">
        <f t="shared" si="27"/>
        <v>#VALUE!</v>
      </c>
      <c r="AE27" s="121" t="e">
        <f t="shared" si="28"/>
        <v>#VALUE!</v>
      </c>
      <c r="AF27" s="121" t="e">
        <f t="shared" si="29"/>
        <v>#VALUE!</v>
      </c>
      <c r="AG27" s="121">
        <f t="shared" si="30"/>
        <v>3</v>
      </c>
      <c r="AH27" s="121">
        <f t="shared" si="31"/>
        <v>0</v>
      </c>
      <c r="AI27" s="121" t="e">
        <f t="shared" si="32"/>
        <v>#VALUE!</v>
      </c>
      <c r="AJ27" s="122" t="e">
        <f t="shared" si="33"/>
        <v>#VALUE!</v>
      </c>
      <c r="AK27" s="120" t="e">
        <f t="shared" si="34"/>
        <v>#VALUE!</v>
      </c>
    </row>
  </sheetData>
  <mergeCells count="4">
    <mergeCell ref="D11:E11"/>
    <mergeCell ref="D12:E12"/>
    <mergeCell ref="D13:E13"/>
    <mergeCell ref="D14:E14"/>
  </mergeCells>
  <conditionalFormatting sqref="C6:C8">
    <cfRule type="cellIs" dxfId="10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27"/>
  <sheetViews>
    <sheetView zoomScaleNormal="100" workbookViewId="0">
      <selection activeCell="J6" sqref="J6:J8"/>
    </sheetView>
  </sheetViews>
  <sheetFormatPr baseColWidth="10" defaultRowHeight="15" x14ac:dyDescent="0.25"/>
  <cols>
    <col min="1" max="1" width="2.7109375" style="106" customWidth="1"/>
    <col min="2" max="2" width="11.42578125" style="106"/>
    <col min="3" max="3" width="27.85546875" style="106" customWidth="1"/>
    <col min="4" max="6" width="14.42578125" style="106" customWidth="1"/>
    <col min="7" max="9" width="27.28515625" style="106" customWidth="1"/>
    <col min="10" max="11" width="26.140625" style="106" customWidth="1"/>
    <col min="12" max="12" width="11.42578125" style="106" customWidth="1"/>
    <col min="13" max="22" width="11.85546875" style="106" hidden="1" customWidth="1"/>
    <col min="23" max="24" width="11.42578125" style="106" hidden="1" customWidth="1"/>
    <col min="25" max="25" width="8.85546875" style="106" hidden="1" customWidth="1"/>
    <col min="26" max="39" width="8.28515625" style="106" hidden="1" customWidth="1"/>
    <col min="40" max="45" width="11.42578125" style="106" hidden="1" customWidth="1"/>
    <col min="46" max="16384" width="11.42578125" style="106"/>
  </cols>
  <sheetData>
    <row r="1" spans="2:45" ht="7.5" customHeight="1" thickBot="1" x14ac:dyDescent="0.3"/>
    <row r="2" spans="2:45" s="105" customFormat="1" ht="39" customHeight="1" x14ac:dyDescent="0.65">
      <c r="B2" s="46"/>
      <c r="C2" s="90" t="s">
        <v>36</v>
      </c>
      <c r="D2" s="47"/>
      <c r="E2" s="47"/>
      <c r="F2" s="47"/>
      <c r="G2" s="47"/>
      <c r="H2" s="47"/>
      <c r="I2" s="47"/>
      <c r="J2" s="47"/>
      <c r="K2" s="47"/>
      <c r="L2" s="4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2:45" s="105" customFormat="1" ht="39" customHeight="1" x14ac:dyDescent="0.65">
      <c r="B3" s="91"/>
      <c r="C3" s="92" t="s">
        <v>22</v>
      </c>
      <c r="D3" s="49"/>
      <c r="E3" s="49"/>
      <c r="F3" s="49"/>
      <c r="G3" s="49"/>
      <c r="H3" s="49"/>
      <c r="I3" s="92" t="s">
        <v>23</v>
      </c>
      <c r="J3" s="49"/>
      <c r="K3" s="49"/>
      <c r="L3" s="5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2:45" s="105" customFormat="1" ht="26.25" customHeight="1" thickBot="1" x14ac:dyDescent="0.3">
      <c r="B4" s="91"/>
      <c r="C4" s="93" t="s">
        <v>37</v>
      </c>
      <c r="D4" s="93">
        <f>Nb_sieges</f>
        <v>7</v>
      </c>
      <c r="E4" s="49"/>
      <c r="F4" s="49"/>
      <c r="G4" s="49"/>
      <c r="H4" s="49"/>
      <c r="I4" s="93" t="s">
        <v>37</v>
      </c>
      <c r="J4" s="142">
        <v>7</v>
      </c>
      <c r="K4" s="49"/>
      <c r="L4" s="5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2:45" ht="29.25" thickBot="1" x14ac:dyDescent="0.3">
      <c r="B5" s="95"/>
      <c r="C5" s="13"/>
      <c r="D5" s="14" t="str">
        <f>PA</f>
        <v>Parti A</v>
      </c>
      <c r="E5" s="14" t="str">
        <f>PB</f>
        <v>Parti B</v>
      </c>
      <c r="F5" s="14" t="str">
        <f>PC</f>
        <v>Parti C</v>
      </c>
      <c r="G5" s="15" t="s">
        <v>6</v>
      </c>
      <c r="H5" s="96"/>
      <c r="I5" s="13"/>
      <c r="J5" s="14" t="s">
        <v>25</v>
      </c>
      <c r="K5" s="26" t="s">
        <v>24</v>
      </c>
      <c r="L5" s="97"/>
      <c r="M5" s="123" t="s">
        <v>40</v>
      </c>
      <c r="N5" s="86" t="s">
        <v>59</v>
      </c>
      <c r="O5" s="86" t="s">
        <v>60</v>
      </c>
      <c r="P5" s="86" t="s">
        <v>40</v>
      </c>
      <c r="Q5" s="86" t="s">
        <v>63</v>
      </c>
      <c r="R5" s="86" t="s">
        <v>42</v>
      </c>
      <c r="S5" s="86" t="s">
        <v>38</v>
      </c>
      <c r="T5" s="86" t="s">
        <v>64</v>
      </c>
      <c r="U5" s="86" t="s">
        <v>17</v>
      </c>
      <c r="V5" s="86" t="s">
        <v>16</v>
      </c>
      <c r="W5" s="4"/>
      <c r="X5" s="4"/>
      <c r="Y5" s="4"/>
      <c r="Z5" s="4">
        <v>1</v>
      </c>
      <c r="AA5" s="4">
        <v>2</v>
      </c>
      <c r="AB5" s="4">
        <v>3</v>
      </c>
      <c r="AC5" s="4">
        <v>4</v>
      </c>
      <c r="AD5" s="4">
        <v>5</v>
      </c>
      <c r="AE5" s="4">
        <v>6</v>
      </c>
      <c r="AF5" s="4">
        <v>7</v>
      </c>
      <c r="AG5" s="4">
        <v>8</v>
      </c>
      <c r="AH5" s="4">
        <v>9</v>
      </c>
      <c r="AI5" s="4">
        <v>10</v>
      </c>
      <c r="AJ5" s="4">
        <v>11</v>
      </c>
      <c r="AK5" s="4">
        <v>12</v>
      </c>
      <c r="AL5" s="4">
        <v>13</v>
      </c>
      <c r="AM5" s="4">
        <v>14</v>
      </c>
      <c r="AN5" s="4">
        <v>15</v>
      </c>
      <c r="AO5" s="4">
        <v>16</v>
      </c>
      <c r="AP5" s="4">
        <v>17</v>
      </c>
      <c r="AQ5" s="4">
        <v>18</v>
      </c>
      <c r="AR5" s="4">
        <v>19</v>
      </c>
      <c r="AS5" s="4">
        <v>20</v>
      </c>
    </row>
    <row r="6" spans="2:45" ht="28.5" x14ac:dyDescent="0.25">
      <c r="B6" s="95"/>
      <c r="C6" s="17">
        <f>CA</f>
        <v>1</v>
      </c>
      <c r="D6" s="135"/>
      <c r="E6" s="136"/>
      <c r="F6" s="141"/>
      <c r="G6" s="18" t="str">
        <f>IF(F6="","",IF(D6=MAX(D6:F6),IF(OR(D6=E6,D6=F6),"Égalité","Parti A"),IF(E6=MAX(D6:F6),IF(OR(E6=D6,E6=F6),"Égalité","Parti B"),IF(F6=MAX(D6:F6),IF(OR(F6=E6,F6=D6),"Égalité","Parti C")))))</f>
        <v/>
      </c>
      <c r="H6" s="96"/>
      <c r="I6" s="17" t="s">
        <v>0</v>
      </c>
      <c r="J6" s="61"/>
      <c r="K6" s="29" t="str">
        <f>IF($R$10=0,"",J6/$R$10)</f>
        <v/>
      </c>
      <c r="L6" s="97"/>
      <c r="M6" s="123" t="str">
        <f>PA</f>
        <v>Parti A</v>
      </c>
      <c r="N6" s="86">
        <f>RANK(Q6,$Q$6:$Q$8)</f>
        <v>1</v>
      </c>
      <c r="O6" s="86">
        <f>AQ25</f>
        <v>5</v>
      </c>
      <c r="P6" s="86" t="s">
        <v>0</v>
      </c>
      <c r="Q6" s="86">
        <f>Y14</f>
        <v>20</v>
      </c>
      <c r="R6" s="86" t="str">
        <f>IF(R9=0,"",COUNTIF($G$6:$G$12,P6))</f>
        <v/>
      </c>
      <c r="S6" s="86" t="e">
        <f>IF(Q6-R6&lt;0,0,Q6-R6)</f>
        <v>#VALUE!</v>
      </c>
      <c r="T6" s="86" t="str">
        <f>IF(R6&gt;Q6,R6,Q6)</f>
        <v/>
      </c>
      <c r="U6" s="87" t="str">
        <f>IF($R$9=0,"",T6/$J$18)</f>
        <v/>
      </c>
      <c r="V6" s="87" t="str">
        <f>IF($R$10=0,"",K6)</f>
        <v/>
      </c>
      <c r="W6" s="4"/>
      <c r="X6" s="4"/>
      <c r="Y6" s="4" t="s">
        <v>31</v>
      </c>
      <c r="Z6" s="4">
        <f>$J6/Z$5</f>
        <v>0</v>
      </c>
      <c r="AA6" s="4">
        <f t="shared" ref="AA6:AS8" si="0">$J6/AA$5</f>
        <v>0</v>
      </c>
      <c r="AB6" s="4">
        <f t="shared" si="0"/>
        <v>0</v>
      </c>
      <c r="AC6" s="4">
        <f t="shared" si="0"/>
        <v>0</v>
      </c>
      <c r="AD6" s="4">
        <f t="shared" si="0"/>
        <v>0</v>
      </c>
      <c r="AE6" s="4">
        <f t="shared" si="0"/>
        <v>0</v>
      </c>
      <c r="AF6" s="4">
        <f t="shared" si="0"/>
        <v>0</v>
      </c>
      <c r="AG6" s="4">
        <f t="shared" si="0"/>
        <v>0</v>
      </c>
      <c r="AH6" s="4">
        <f t="shared" si="0"/>
        <v>0</v>
      </c>
      <c r="AI6" s="4">
        <f t="shared" si="0"/>
        <v>0</v>
      </c>
      <c r="AJ6" s="4">
        <f t="shared" si="0"/>
        <v>0</v>
      </c>
      <c r="AK6" s="4">
        <f t="shared" si="0"/>
        <v>0</v>
      </c>
      <c r="AL6" s="4">
        <f t="shared" si="0"/>
        <v>0</v>
      </c>
      <c r="AM6" s="4">
        <f t="shared" si="0"/>
        <v>0</v>
      </c>
      <c r="AN6" s="4">
        <f t="shared" si="0"/>
        <v>0</v>
      </c>
      <c r="AO6" s="4">
        <f t="shared" si="0"/>
        <v>0</v>
      </c>
      <c r="AP6" s="4">
        <f t="shared" si="0"/>
        <v>0</v>
      </c>
      <c r="AQ6" s="4">
        <f t="shared" si="0"/>
        <v>0</v>
      </c>
      <c r="AR6" s="4">
        <f t="shared" si="0"/>
        <v>0</v>
      </c>
      <c r="AS6" s="4">
        <f t="shared" si="0"/>
        <v>0</v>
      </c>
    </row>
    <row r="7" spans="2:45" ht="28.5" x14ac:dyDescent="0.25">
      <c r="B7" s="95"/>
      <c r="C7" s="17">
        <f>CB</f>
        <v>2</v>
      </c>
      <c r="D7" s="138"/>
      <c r="E7" s="61"/>
      <c r="F7" s="137"/>
      <c r="G7" s="18" t="str">
        <f t="shared" ref="G7:G12" si="1">IF(F7="","",IF(D7=MAX(D7:F7),IF(OR(D7=E7,D7=F7),"Égalité","Parti A"),IF(E7=MAX(D7:F7),IF(OR(E7=D7,E7=F7),"Égalité","Parti B"),IF(F7=MAX(D7:F7),IF(OR(F7=E7,F7=D7),"Égalité","Parti C")))))</f>
        <v/>
      </c>
      <c r="H7" s="96"/>
      <c r="I7" s="17" t="s">
        <v>1</v>
      </c>
      <c r="J7" s="61"/>
      <c r="K7" s="29" t="str">
        <f>IF($R$10=0,"",J7/$R$10)</f>
        <v/>
      </c>
      <c r="L7" s="97"/>
      <c r="M7" s="123" t="str">
        <f>PB</f>
        <v>Parti B</v>
      </c>
      <c r="N7" s="86">
        <f>RANK(Q7,$Q$6:$Q$8)</f>
        <v>1</v>
      </c>
      <c r="O7" s="86">
        <f t="shared" ref="O7:O8" si="2">AQ26</f>
        <v>5</v>
      </c>
      <c r="P7" s="86" t="s">
        <v>1</v>
      </c>
      <c r="Q7" s="86">
        <f t="shared" ref="Q7:Q8" si="3">Y15</f>
        <v>20</v>
      </c>
      <c r="R7" s="86" t="str">
        <f>IF(R9=0,"",COUNTIF($G$6:$G$12,P7))</f>
        <v/>
      </c>
      <c r="S7" s="86" t="e">
        <f t="shared" ref="S7:S8" si="4">IF(Q7-R7&lt;0,0,Q7-R7)</f>
        <v>#VALUE!</v>
      </c>
      <c r="T7" s="86" t="str">
        <f t="shared" ref="T7:T8" si="5">IF(R7&gt;Q7,R7,Q7)</f>
        <v/>
      </c>
      <c r="U7" s="87" t="str">
        <f t="shared" ref="U7:U8" si="6">IF($R$9=0,"",T7/$J$18)</f>
        <v/>
      </c>
      <c r="V7" s="87" t="str">
        <f>IF($R$10=0,"",K7)</f>
        <v/>
      </c>
      <c r="W7" s="4"/>
      <c r="X7" s="4"/>
      <c r="Y7" s="4" t="s">
        <v>32</v>
      </c>
      <c r="Z7" s="4">
        <f t="shared" ref="Z7:AO8" si="7">$J7/Z$5</f>
        <v>0</v>
      </c>
      <c r="AA7" s="4">
        <f t="shared" si="7"/>
        <v>0</v>
      </c>
      <c r="AB7" s="4">
        <f t="shared" si="7"/>
        <v>0</v>
      </c>
      <c r="AC7" s="4">
        <f t="shared" si="7"/>
        <v>0</v>
      </c>
      <c r="AD7" s="4">
        <f t="shared" si="7"/>
        <v>0</v>
      </c>
      <c r="AE7" s="4">
        <f t="shared" si="7"/>
        <v>0</v>
      </c>
      <c r="AF7" s="4">
        <f t="shared" si="7"/>
        <v>0</v>
      </c>
      <c r="AG7" s="4">
        <f t="shared" si="7"/>
        <v>0</v>
      </c>
      <c r="AH7" s="4">
        <f t="shared" si="7"/>
        <v>0</v>
      </c>
      <c r="AI7" s="4">
        <f t="shared" si="7"/>
        <v>0</v>
      </c>
      <c r="AJ7" s="4">
        <f t="shared" si="7"/>
        <v>0</v>
      </c>
      <c r="AK7" s="4">
        <f t="shared" si="7"/>
        <v>0</v>
      </c>
      <c r="AL7" s="4">
        <f t="shared" si="7"/>
        <v>0</v>
      </c>
      <c r="AM7" s="4">
        <f t="shared" si="7"/>
        <v>0</v>
      </c>
      <c r="AN7" s="4">
        <f t="shared" si="7"/>
        <v>0</v>
      </c>
      <c r="AO7" s="4">
        <f t="shared" si="7"/>
        <v>0</v>
      </c>
      <c r="AP7" s="4">
        <f t="shared" si="0"/>
        <v>0</v>
      </c>
      <c r="AQ7" s="4">
        <f t="shared" si="0"/>
        <v>0</v>
      </c>
      <c r="AR7" s="4">
        <f t="shared" si="0"/>
        <v>0</v>
      </c>
      <c r="AS7" s="4">
        <f t="shared" si="0"/>
        <v>0</v>
      </c>
    </row>
    <row r="8" spans="2:45" ht="29.25" thickBot="1" x14ac:dyDescent="0.3">
      <c r="B8" s="95"/>
      <c r="C8" s="17">
        <f>CC</f>
        <v>3</v>
      </c>
      <c r="D8" s="138"/>
      <c r="E8" s="61"/>
      <c r="F8" s="137"/>
      <c r="G8" s="18" t="str">
        <f t="shared" si="1"/>
        <v/>
      </c>
      <c r="H8" s="96"/>
      <c r="I8" s="19" t="s">
        <v>2</v>
      </c>
      <c r="J8" s="62"/>
      <c r="K8" s="30" t="str">
        <f>IF($R$10=0,"",J8/$R$10)</f>
        <v/>
      </c>
      <c r="L8" s="97"/>
      <c r="M8" s="123" t="str">
        <f>PC</f>
        <v>Parti C</v>
      </c>
      <c r="N8" s="86">
        <f>RANK(Q8,$Q$6:$Q$8)</f>
        <v>1</v>
      </c>
      <c r="O8" s="86">
        <f t="shared" si="2"/>
        <v>5</v>
      </c>
      <c r="P8" s="86" t="s">
        <v>2</v>
      </c>
      <c r="Q8" s="86">
        <f t="shared" si="3"/>
        <v>20</v>
      </c>
      <c r="R8" s="86" t="str">
        <f>IF(R9=0,"",COUNTIF($G$6:$G$12,P8))</f>
        <v/>
      </c>
      <c r="S8" s="86" t="e">
        <f t="shared" si="4"/>
        <v>#VALUE!</v>
      </c>
      <c r="T8" s="86" t="str">
        <f t="shared" si="5"/>
        <v/>
      </c>
      <c r="U8" s="87" t="str">
        <f t="shared" si="6"/>
        <v/>
      </c>
      <c r="V8" s="87" t="str">
        <f>IF($R$10=0,"",K8)</f>
        <v/>
      </c>
      <c r="W8" s="4"/>
      <c r="X8" s="4"/>
      <c r="Y8" s="4" t="s">
        <v>33</v>
      </c>
      <c r="Z8" s="4">
        <f t="shared" si="7"/>
        <v>0</v>
      </c>
      <c r="AA8" s="4">
        <f t="shared" si="7"/>
        <v>0</v>
      </c>
      <c r="AB8" s="4">
        <f t="shared" si="7"/>
        <v>0</v>
      </c>
      <c r="AC8" s="4">
        <f t="shared" si="7"/>
        <v>0</v>
      </c>
      <c r="AD8" s="4">
        <f t="shared" si="7"/>
        <v>0</v>
      </c>
      <c r="AE8" s="4">
        <f t="shared" si="7"/>
        <v>0</v>
      </c>
      <c r="AF8" s="4">
        <f t="shared" si="7"/>
        <v>0</v>
      </c>
      <c r="AG8" s="4">
        <f t="shared" si="7"/>
        <v>0</v>
      </c>
      <c r="AH8" s="4">
        <f t="shared" si="7"/>
        <v>0</v>
      </c>
      <c r="AI8" s="4">
        <f t="shared" si="7"/>
        <v>0</v>
      </c>
      <c r="AJ8" s="4">
        <f t="shared" si="7"/>
        <v>0</v>
      </c>
      <c r="AK8" s="4">
        <f t="shared" si="7"/>
        <v>0</v>
      </c>
      <c r="AL8" s="4">
        <f t="shared" si="7"/>
        <v>0</v>
      </c>
      <c r="AM8" s="4">
        <f t="shared" si="7"/>
        <v>0</v>
      </c>
      <c r="AN8" s="4">
        <f t="shared" si="0"/>
        <v>0</v>
      </c>
      <c r="AO8" s="4">
        <f t="shared" si="0"/>
        <v>0</v>
      </c>
      <c r="AP8" s="4">
        <f t="shared" si="0"/>
        <v>0</v>
      </c>
      <c r="AQ8" s="4">
        <f t="shared" si="0"/>
        <v>0</v>
      </c>
      <c r="AR8" s="4">
        <f t="shared" si="0"/>
        <v>0</v>
      </c>
      <c r="AS8" s="4">
        <f t="shared" si="0"/>
        <v>0</v>
      </c>
    </row>
    <row r="9" spans="2:45" ht="28.5" x14ac:dyDescent="0.25">
      <c r="B9" s="95"/>
      <c r="C9" s="17">
        <f>CD</f>
        <v>4</v>
      </c>
      <c r="D9" s="138"/>
      <c r="E9" s="61"/>
      <c r="F9" s="137"/>
      <c r="G9" s="18" t="str">
        <f t="shared" si="1"/>
        <v/>
      </c>
      <c r="H9" s="96"/>
      <c r="I9" s="96"/>
      <c r="J9" s="96"/>
      <c r="K9" s="96"/>
      <c r="L9" s="97"/>
      <c r="M9" s="124"/>
      <c r="N9" s="88"/>
      <c r="O9" s="88"/>
      <c r="P9" s="86"/>
      <c r="Q9" s="86" t="s">
        <v>10</v>
      </c>
      <c r="R9" s="86">
        <f>SUM(D6:F12)</f>
        <v>0</v>
      </c>
      <c r="S9" s="86"/>
      <c r="T9" s="86"/>
      <c r="U9" s="86"/>
      <c r="V9" s="86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2:45" ht="28.5" x14ac:dyDescent="0.25">
      <c r="B10" s="95"/>
      <c r="C10" s="17">
        <f>CE</f>
        <v>5</v>
      </c>
      <c r="D10" s="138"/>
      <c r="E10" s="61"/>
      <c r="F10" s="137"/>
      <c r="G10" s="18" t="str">
        <f t="shared" si="1"/>
        <v/>
      </c>
      <c r="H10" s="96"/>
      <c r="I10" s="96"/>
      <c r="J10" s="96"/>
      <c r="K10" s="96"/>
      <c r="L10" s="97"/>
      <c r="M10" s="124"/>
      <c r="N10" s="88"/>
      <c r="O10" s="88"/>
      <c r="P10" s="86"/>
      <c r="Q10" s="86" t="s">
        <v>26</v>
      </c>
      <c r="R10" s="86">
        <f>SUM(J6:J8)</f>
        <v>0</v>
      </c>
      <c r="S10" s="86"/>
      <c r="T10" s="86"/>
      <c r="U10" s="86"/>
      <c r="V10" s="86"/>
      <c r="W10" s="4"/>
      <c r="X10" s="4"/>
      <c r="Y10" s="4"/>
      <c r="Z10" s="4">
        <f t="shared" ref="Z10:AS10" si="8">RANK(Z6,$Z$6:$AS$8)</f>
        <v>1</v>
      </c>
      <c r="AA10" s="4">
        <f t="shared" si="8"/>
        <v>1</v>
      </c>
      <c r="AB10" s="4">
        <f t="shared" si="8"/>
        <v>1</v>
      </c>
      <c r="AC10" s="4">
        <f t="shared" si="8"/>
        <v>1</v>
      </c>
      <c r="AD10" s="4">
        <f t="shared" si="8"/>
        <v>1</v>
      </c>
      <c r="AE10" s="4">
        <f t="shared" si="8"/>
        <v>1</v>
      </c>
      <c r="AF10" s="4">
        <f t="shared" si="8"/>
        <v>1</v>
      </c>
      <c r="AG10" s="4">
        <f t="shared" si="8"/>
        <v>1</v>
      </c>
      <c r="AH10" s="4">
        <f t="shared" si="8"/>
        <v>1</v>
      </c>
      <c r="AI10" s="4">
        <f t="shared" si="8"/>
        <v>1</v>
      </c>
      <c r="AJ10" s="4">
        <f t="shared" si="8"/>
        <v>1</v>
      </c>
      <c r="AK10" s="4">
        <f t="shared" si="8"/>
        <v>1</v>
      </c>
      <c r="AL10" s="4">
        <f t="shared" si="8"/>
        <v>1</v>
      </c>
      <c r="AM10" s="4">
        <f t="shared" si="8"/>
        <v>1</v>
      </c>
      <c r="AN10" s="4">
        <f t="shared" si="8"/>
        <v>1</v>
      </c>
      <c r="AO10" s="4">
        <f t="shared" si="8"/>
        <v>1</v>
      </c>
      <c r="AP10" s="4">
        <f t="shared" si="8"/>
        <v>1</v>
      </c>
      <c r="AQ10" s="4">
        <f t="shared" si="8"/>
        <v>1</v>
      </c>
      <c r="AR10" s="4">
        <f t="shared" si="8"/>
        <v>1</v>
      </c>
      <c r="AS10" s="4">
        <f t="shared" si="8"/>
        <v>1</v>
      </c>
    </row>
    <row r="11" spans="2:45" ht="28.5" x14ac:dyDescent="0.25">
      <c r="B11" s="95"/>
      <c r="C11" s="17">
        <f>CF</f>
        <v>6</v>
      </c>
      <c r="D11" s="138"/>
      <c r="E11" s="61"/>
      <c r="F11" s="137"/>
      <c r="G11" s="18" t="str">
        <f t="shared" si="1"/>
        <v/>
      </c>
      <c r="H11" s="96"/>
      <c r="I11" s="96"/>
      <c r="J11" s="96"/>
      <c r="K11" s="96"/>
      <c r="L11" s="97"/>
      <c r="M11" s="16"/>
      <c r="N11" s="16"/>
      <c r="O11" s="16"/>
      <c r="P11" s="4"/>
      <c r="Q11" s="4"/>
      <c r="R11" s="4"/>
      <c r="S11" s="4"/>
      <c r="T11" s="4"/>
      <c r="U11" s="4"/>
      <c r="V11" s="4"/>
      <c r="W11" s="4"/>
      <c r="X11" s="4"/>
      <c r="Y11" s="4"/>
      <c r="Z11" s="4">
        <f t="shared" ref="Z11:AS11" si="9">RANK(Z7,$Z$6:$AS$8)</f>
        <v>1</v>
      </c>
      <c r="AA11" s="4">
        <f t="shared" si="9"/>
        <v>1</v>
      </c>
      <c r="AB11" s="4">
        <f t="shared" si="9"/>
        <v>1</v>
      </c>
      <c r="AC11" s="4">
        <f t="shared" si="9"/>
        <v>1</v>
      </c>
      <c r="AD11" s="4">
        <f t="shared" si="9"/>
        <v>1</v>
      </c>
      <c r="AE11" s="4">
        <f t="shared" si="9"/>
        <v>1</v>
      </c>
      <c r="AF11" s="4">
        <f t="shared" si="9"/>
        <v>1</v>
      </c>
      <c r="AG11" s="4">
        <f t="shared" si="9"/>
        <v>1</v>
      </c>
      <c r="AH11" s="4">
        <f t="shared" si="9"/>
        <v>1</v>
      </c>
      <c r="AI11" s="4">
        <f t="shared" si="9"/>
        <v>1</v>
      </c>
      <c r="AJ11" s="4">
        <f t="shared" si="9"/>
        <v>1</v>
      </c>
      <c r="AK11" s="4">
        <f t="shared" si="9"/>
        <v>1</v>
      </c>
      <c r="AL11" s="4">
        <f t="shared" si="9"/>
        <v>1</v>
      </c>
      <c r="AM11" s="4">
        <f t="shared" si="9"/>
        <v>1</v>
      </c>
      <c r="AN11" s="4">
        <f t="shared" si="9"/>
        <v>1</v>
      </c>
      <c r="AO11" s="4">
        <f t="shared" si="9"/>
        <v>1</v>
      </c>
      <c r="AP11" s="4">
        <f t="shared" si="9"/>
        <v>1</v>
      </c>
      <c r="AQ11" s="4">
        <f t="shared" si="9"/>
        <v>1</v>
      </c>
      <c r="AR11" s="4">
        <f t="shared" si="9"/>
        <v>1</v>
      </c>
      <c r="AS11" s="4">
        <f t="shared" si="9"/>
        <v>1</v>
      </c>
    </row>
    <row r="12" spans="2:45" ht="29.25" thickBot="1" x14ac:dyDescent="0.3">
      <c r="B12" s="95"/>
      <c r="C12" s="19">
        <f>CG</f>
        <v>7</v>
      </c>
      <c r="D12" s="139"/>
      <c r="E12" s="62"/>
      <c r="F12" s="140"/>
      <c r="G12" s="20" t="str">
        <f t="shared" si="1"/>
        <v/>
      </c>
      <c r="H12" s="96"/>
      <c r="I12" s="96"/>
      <c r="J12" s="96"/>
      <c r="K12" s="96"/>
      <c r="L12" s="97"/>
      <c r="M12" s="16"/>
      <c r="N12" s="16"/>
      <c r="O12" s="16"/>
      <c r="P12" s="4"/>
      <c r="Q12" s="4"/>
      <c r="R12" s="4"/>
      <c r="S12" s="4"/>
      <c r="T12" s="4"/>
      <c r="U12" s="4"/>
      <c r="V12" s="4"/>
      <c r="W12" s="4"/>
      <c r="X12" s="4"/>
      <c r="Y12" s="4"/>
      <c r="Z12" s="4">
        <f t="shared" ref="Z12:AS12" si="10">RANK(Z8,$Z$6:$AS$8)</f>
        <v>1</v>
      </c>
      <c r="AA12" s="4">
        <f t="shared" si="10"/>
        <v>1</v>
      </c>
      <c r="AB12" s="4">
        <f t="shared" si="10"/>
        <v>1</v>
      </c>
      <c r="AC12" s="4">
        <f t="shared" si="10"/>
        <v>1</v>
      </c>
      <c r="AD12" s="4">
        <f t="shared" si="10"/>
        <v>1</v>
      </c>
      <c r="AE12" s="4">
        <f t="shared" si="10"/>
        <v>1</v>
      </c>
      <c r="AF12" s="4">
        <f t="shared" si="10"/>
        <v>1</v>
      </c>
      <c r="AG12" s="4">
        <f t="shared" si="10"/>
        <v>1</v>
      </c>
      <c r="AH12" s="4">
        <f t="shared" si="10"/>
        <v>1</v>
      </c>
      <c r="AI12" s="4">
        <f t="shared" si="10"/>
        <v>1</v>
      </c>
      <c r="AJ12" s="4">
        <f t="shared" si="10"/>
        <v>1</v>
      </c>
      <c r="AK12" s="4">
        <f t="shared" si="10"/>
        <v>1</v>
      </c>
      <c r="AL12" s="4">
        <f t="shared" si="10"/>
        <v>1</v>
      </c>
      <c r="AM12" s="4">
        <f t="shared" si="10"/>
        <v>1</v>
      </c>
      <c r="AN12" s="4">
        <f t="shared" si="10"/>
        <v>1</v>
      </c>
      <c r="AO12" s="4">
        <f t="shared" si="10"/>
        <v>1</v>
      </c>
      <c r="AP12" s="4">
        <f t="shared" si="10"/>
        <v>1</v>
      </c>
      <c r="AQ12" s="4">
        <f t="shared" si="10"/>
        <v>1</v>
      </c>
      <c r="AR12" s="4">
        <f t="shared" si="10"/>
        <v>1</v>
      </c>
      <c r="AS12" s="4">
        <f t="shared" si="10"/>
        <v>1</v>
      </c>
    </row>
    <row r="13" spans="2:45" ht="21.75" customHeight="1" thickBot="1" x14ac:dyDescent="0.3"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7"/>
      <c r="M13" s="16"/>
      <c r="N13" s="16"/>
      <c r="O13" s="16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spans="2:45" ht="64.5" customHeight="1" thickBot="1" x14ac:dyDescent="0.3">
      <c r="B14" s="95"/>
      <c r="C14" s="13"/>
      <c r="D14" s="151" t="s">
        <v>11</v>
      </c>
      <c r="E14" s="152"/>
      <c r="F14" s="152"/>
      <c r="G14" s="27" t="s">
        <v>27</v>
      </c>
      <c r="H14" s="27" t="s">
        <v>29</v>
      </c>
      <c r="I14" s="28" t="s">
        <v>28</v>
      </c>
      <c r="J14" s="54" t="s">
        <v>30</v>
      </c>
      <c r="K14" s="28" t="s">
        <v>46</v>
      </c>
      <c r="L14" s="125"/>
      <c r="M14" s="24"/>
      <c r="N14" s="24"/>
      <c r="O14" s="24"/>
      <c r="P14" s="4"/>
      <c r="Q14" s="4"/>
      <c r="R14" s="4"/>
      <c r="S14" s="4"/>
      <c r="T14" s="4"/>
      <c r="U14" s="4"/>
      <c r="V14" s="4"/>
      <c r="W14" s="4"/>
      <c r="X14" s="4"/>
      <c r="Y14" s="4">
        <f>SUM(Z14:AS14)</f>
        <v>20</v>
      </c>
      <c r="Z14" s="4">
        <f>IF(Z10&lt;($J$4+$D$4+1),1,0)</f>
        <v>1</v>
      </c>
      <c r="AA14" s="4">
        <f t="shared" ref="AA14:AS14" si="11">IF(AA10&lt;($J$4+$D$4+1),1,0)</f>
        <v>1</v>
      </c>
      <c r="AB14" s="4">
        <f t="shared" si="11"/>
        <v>1</v>
      </c>
      <c r="AC14" s="4">
        <f t="shared" si="11"/>
        <v>1</v>
      </c>
      <c r="AD14" s="4">
        <f t="shared" si="11"/>
        <v>1</v>
      </c>
      <c r="AE14" s="4">
        <f t="shared" si="11"/>
        <v>1</v>
      </c>
      <c r="AF14" s="4">
        <f t="shared" si="11"/>
        <v>1</v>
      </c>
      <c r="AG14" s="4">
        <f t="shared" si="11"/>
        <v>1</v>
      </c>
      <c r="AH14" s="4">
        <f t="shared" si="11"/>
        <v>1</v>
      </c>
      <c r="AI14" s="4">
        <f t="shared" si="11"/>
        <v>1</v>
      </c>
      <c r="AJ14" s="4">
        <f t="shared" si="11"/>
        <v>1</v>
      </c>
      <c r="AK14" s="4">
        <f t="shared" si="11"/>
        <v>1</v>
      </c>
      <c r="AL14" s="4">
        <f t="shared" si="11"/>
        <v>1</v>
      </c>
      <c r="AM14" s="4">
        <f t="shared" si="11"/>
        <v>1</v>
      </c>
      <c r="AN14" s="4">
        <f t="shared" si="11"/>
        <v>1</v>
      </c>
      <c r="AO14" s="4">
        <f t="shared" si="11"/>
        <v>1</v>
      </c>
      <c r="AP14" s="4">
        <f t="shared" si="11"/>
        <v>1</v>
      </c>
      <c r="AQ14" s="4">
        <f t="shared" si="11"/>
        <v>1</v>
      </c>
      <c r="AR14" s="4">
        <f t="shared" si="11"/>
        <v>1</v>
      </c>
      <c r="AS14" s="4">
        <f t="shared" si="11"/>
        <v>1</v>
      </c>
    </row>
    <row r="15" spans="2:45" ht="28.5" x14ac:dyDescent="0.25">
      <c r="B15" s="95"/>
      <c r="C15" s="21" t="s">
        <v>3</v>
      </c>
      <c r="D15" s="145" t="str">
        <f>IFERROR(VLOOKUP($L15,$O$6:$V$8,2,FALSE),"")</f>
        <v/>
      </c>
      <c r="E15" s="146"/>
      <c r="F15" s="146"/>
      <c r="G15" s="60" t="str">
        <f>IFERROR(VLOOKUP($L15,$O$6:$V$8,3,FALSE),"")</f>
        <v/>
      </c>
      <c r="H15" s="60" t="str">
        <f>IFERROR(VLOOKUP($L15,$O$6:$V$8,4,FALSE),"")</f>
        <v/>
      </c>
      <c r="I15" s="31" t="str">
        <f>IFERROR(VLOOKUP($L15,$O$6:$V$8,5,FALSE),"")</f>
        <v/>
      </c>
      <c r="J15" s="55" t="str">
        <f>IFERROR(VLOOKUP($L15,$O$6:$V$8,6,FALSE),"")</f>
        <v/>
      </c>
      <c r="K15" s="37" t="str">
        <f>IFERROR(VLOOKUP($L15,$O$6:$V$8,7,FALSE),"")</f>
        <v/>
      </c>
      <c r="L15" s="126">
        <v>1</v>
      </c>
      <c r="M15" s="22"/>
      <c r="N15" s="22"/>
      <c r="O15" s="22"/>
      <c r="P15" s="4"/>
      <c r="Q15" s="4"/>
      <c r="R15" s="4"/>
      <c r="S15" s="4"/>
      <c r="T15" s="4"/>
      <c r="U15" s="4"/>
      <c r="V15" s="4"/>
      <c r="W15" s="4"/>
      <c r="X15" s="4"/>
      <c r="Y15" s="4">
        <f t="shared" ref="Y15:Y16" si="12">SUM(Z15:AS15)</f>
        <v>20</v>
      </c>
      <c r="Z15" s="4">
        <f t="shared" ref="Z15:AS15" si="13">IF(Z11&lt;($J$4+$D$4+1),1,0)</f>
        <v>1</v>
      </c>
      <c r="AA15" s="4">
        <f t="shared" si="13"/>
        <v>1</v>
      </c>
      <c r="AB15" s="4">
        <f t="shared" si="13"/>
        <v>1</v>
      </c>
      <c r="AC15" s="4">
        <f t="shared" si="13"/>
        <v>1</v>
      </c>
      <c r="AD15" s="4">
        <f t="shared" si="13"/>
        <v>1</v>
      </c>
      <c r="AE15" s="4">
        <f t="shared" si="13"/>
        <v>1</v>
      </c>
      <c r="AF15" s="4">
        <f t="shared" si="13"/>
        <v>1</v>
      </c>
      <c r="AG15" s="4">
        <f t="shared" si="13"/>
        <v>1</v>
      </c>
      <c r="AH15" s="4">
        <f t="shared" si="13"/>
        <v>1</v>
      </c>
      <c r="AI15" s="4">
        <f t="shared" si="13"/>
        <v>1</v>
      </c>
      <c r="AJ15" s="4">
        <f t="shared" si="13"/>
        <v>1</v>
      </c>
      <c r="AK15" s="4">
        <f t="shared" si="13"/>
        <v>1</v>
      </c>
      <c r="AL15" s="4">
        <f t="shared" si="13"/>
        <v>1</v>
      </c>
      <c r="AM15" s="4">
        <f t="shared" si="13"/>
        <v>1</v>
      </c>
      <c r="AN15" s="4">
        <f t="shared" si="13"/>
        <v>1</v>
      </c>
      <c r="AO15" s="4">
        <f t="shared" si="13"/>
        <v>1</v>
      </c>
      <c r="AP15" s="4">
        <f t="shared" si="13"/>
        <v>1</v>
      </c>
      <c r="AQ15" s="4">
        <f t="shared" si="13"/>
        <v>1</v>
      </c>
      <c r="AR15" s="4">
        <f t="shared" si="13"/>
        <v>1</v>
      </c>
      <c r="AS15" s="4">
        <f t="shared" si="13"/>
        <v>1</v>
      </c>
    </row>
    <row r="16" spans="2:45" ht="28.5" x14ac:dyDescent="0.25">
      <c r="B16" s="95"/>
      <c r="C16" s="21" t="s">
        <v>4</v>
      </c>
      <c r="D16" s="147" t="str">
        <f t="shared" ref="D16:D17" si="14">IFERROR(VLOOKUP($L16,$O$6:$V$8,2,FALSE),"")</f>
        <v/>
      </c>
      <c r="E16" s="148"/>
      <c r="F16" s="148"/>
      <c r="G16" s="58" t="str">
        <f t="shared" ref="G16:G17" si="15">IFERROR(VLOOKUP($L16,$O$6:$V$8,3,FALSE),"")</f>
        <v/>
      </c>
      <c r="H16" s="58" t="str">
        <f t="shared" ref="H16:H17" si="16">IFERROR(VLOOKUP($L16,$O$6:$V$8,4,FALSE),"")</f>
        <v/>
      </c>
      <c r="I16" s="32" t="str">
        <f t="shared" ref="I16:I17" si="17">IFERROR(VLOOKUP($L16,$O$6:$V$8,5,FALSE),"")</f>
        <v/>
      </c>
      <c r="J16" s="56" t="str">
        <f t="shared" ref="J16:J17" si="18">IFERROR(VLOOKUP($L16,$O$6:$V$8,6,FALSE),"")</f>
        <v/>
      </c>
      <c r="K16" s="29" t="str">
        <f t="shared" ref="K16:K17" si="19">IFERROR(VLOOKUP($L16,$O$6:$V$8,7,FALSE),"")</f>
        <v/>
      </c>
      <c r="L16" s="126">
        <v>2</v>
      </c>
      <c r="M16" s="22"/>
      <c r="N16" s="22"/>
      <c r="O16" s="22"/>
      <c r="P16" s="4"/>
      <c r="Q16" s="4"/>
      <c r="R16" s="4"/>
      <c r="S16" s="4"/>
      <c r="T16" s="4"/>
      <c r="U16" s="4"/>
      <c r="V16" s="4"/>
      <c r="W16" s="4"/>
      <c r="X16" s="4"/>
      <c r="Y16" s="4">
        <f t="shared" si="12"/>
        <v>20</v>
      </c>
      <c r="Z16" s="4">
        <f t="shared" ref="Z16:AS16" si="20">IF(Z12&lt;($J$4+$D$4+1),1,0)</f>
        <v>1</v>
      </c>
      <c r="AA16" s="4">
        <f t="shared" si="20"/>
        <v>1</v>
      </c>
      <c r="AB16" s="4">
        <f t="shared" si="20"/>
        <v>1</v>
      </c>
      <c r="AC16" s="4">
        <f t="shared" si="20"/>
        <v>1</v>
      </c>
      <c r="AD16" s="4">
        <f t="shared" si="20"/>
        <v>1</v>
      </c>
      <c r="AE16" s="4">
        <f t="shared" si="20"/>
        <v>1</v>
      </c>
      <c r="AF16" s="4">
        <f t="shared" si="20"/>
        <v>1</v>
      </c>
      <c r="AG16" s="4">
        <f t="shared" si="20"/>
        <v>1</v>
      </c>
      <c r="AH16" s="4">
        <f t="shared" si="20"/>
        <v>1</v>
      </c>
      <c r="AI16" s="4">
        <f t="shared" si="20"/>
        <v>1</v>
      </c>
      <c r="AJ16" s="4">
        <f t="shared" si="20"/>
        <v>1</v>
      </c>
      <c r="AK16" s="4">
        <f t="shared" si="20"/>
        <v>1</v>
      </c>
      <c r="AL16" s="4">
        <f t="shared" si="20"/>
        <v>1</v>
      </c>
      <c r="AM16" s="4">
        <f t="shared" si="20"/>
        <v>1</v>
      </c>
      <c r="AN16" s="4">
        <f t="shared" si="20"/>
        <v>1</v>
      </c>
      <c r="AO16" s="4">
        <f t="shared" si="20"/>
        <v>1</v>
      </c>
      <c r="AP16" s="4">
        <f t="shared" si="20"/>
        <v>1</v>
      </c>
      <c r="AQ16" s="4">
        <f t="shared" si="20"/>
        <v>1</v>
      </c>
      <c r="AR16" s="4">
        <f t="shared" si="20"/>
        <v>1</v>
      </c>
      <c r="AS16" s="4">
        <f t="shared" si="20"/>
        <v>1</v>
      </c>
    </row>
    <row r="17" spans="2:45" ht="29.25" thickBot="1" x14ac:dyDescent="0.3">
      <c r="B17" s="95"/>
      <c r="C17" s="23" t="s">
        <v>5</v>
      </c>
      <c r="D17" s="149" t="str">
        <f t="shared" si="14"/>
        <v/>
      </c>
      <c r="E17" s="150"/>
      <c r="F17" s="150"/>
      <c r="G17" s="59" t="str">
        <f t="shared" si="15"/>
        <v/>
      </c>
      <c r="H17" s="59" t="str">
        <f t="shared" si="16"/>
        <v/>
      </c>
      <c r="I17" s="33" t="str">
        <f t="shared" si="17"/>
        <v/>
      </c>
      <c r="J17" s="57" t="str">
        <f t="shared" si="18"/>
        <v/>
      </c>
      <c r="K17" s="30" t="str">
        <f t="shared" si="19"/>
        <v/>
      </c>
      <c r="L17" s="126">
        <v>3</v>
      </c>
      <c r="M17" s="22"/>
      <c r="N17" s="22"/>
      <c r="O17" s="22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2:45" ht="28.5" x14ac:dyDescent="0.25">
      <c r="B18" s="95"/>
      <c r="C18" s="99"/>
      <c r="D18" s="99"/>
      <c r="E18" s="99"/>
      <c r="F18" s="99"/>
      <c r="G18" s="60" t="str">
        <f>IF(G17="","",SUM(G15:G17))</f>
        <v/>
      </c>
      <c r="H18" s="99"/>
      <c r="I18" s="99"/>
      <c r="J18" s="39" t="str">
        <f>IF(J17="","",SUM(J15:J17))</f>
        <v/>
      </c>
      <c r="K18" s="22"/>
      <c r="L18" s="101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2:45" ht="15.75" thickBot="1" x14ac:dyDescent="0.3">
      <c r="B19" s="102"/>
      <c r="C19" s="103"/>
      <c r="D19" s="103"/>
      <c r="E19" s="103"/>
      <c r="F19" s="103"/>
      <c r="G19" s="103"/>
      <c r="H19" s="103"/>
      <c r="I19" s="103"/>
      <c r="J19" s="103"/>
      <c r="K19" s="103"/>
      <c r="L19" s="10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2:45" x14ac:dyDescent="0.25"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spans="2:45" x14ac:dyDescent="0.25"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2:45" x14ac:dyDescent="0.25"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2:45" ht="15.75" thickBot="1" x14ac:dyDescent="0.3"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2:45" ht="15.75" thickBot="1" x14ac:dyDescent="0.3"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70" t="s">
        <v>51</v>
      </c>
      <c r="Z24" s="71" t="s">
        <v>52</v>
      </c>
      <c r="AA24" s="71" t="s">
        <v>53</v>
      </c>
      <c r="AB24" s="71" t="s">
        <v>54</v>
      </c>
      <c r="AC24" s="71" t="s">
        <v>55</v>
      </c>
      <c r="AD24" s="71" t="s">
        <v>56</v>
      </c>
      <c r="AE24" s="71" t="s">
        <v>44</v>
      </c>
      <c r="AF24" s="71" t="s">
        <v>57</v>
      </c>
      <c r="AG24" s="72" t="s">
        <v>58</v>
      </c>
      <c r="AH24" s="70" t="s">
        <v>51</v>
      </c>
      <c r="AI24" s="71" t="s">
        <v>52</v>
      </c>
      <c r="AJ24" s="71" t="s">
        <v>53</v>
      </c>
      <c r="AK24" s="71" t="s">
        <v>54</v>
      </c>
      <c r="AL24" s="71" t="s">
        <v>55</v>
      </c>
      <c r="AM24" s="71" t="s">
        <v>56</v>
      </c>
      <c r="AN24" s="71" t="s">
        <v>44</v>
      </c>
      <c r="AO24" s="71" t="s">
        <v>57</v>
      </c>
      <c r="AP24" s="72" t="s">
        <v>58</v>
      </c>
      <c r="AQ24" s="73" t="s">
        <v>51</v>
      </c>
      <c r="AR24" s="4"/>
      <c r="AS24" s="4"/>
    </row>
    <row r="25" spans="2:45" x14ac:dyDescent="0.25"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67">
        <f>N6</f>
        <v>1</v>
      </c>
      <c r="Z25" s="68" t="str">
        <f>IF(OR(Y25=Y26,Y25=Y27),"Égalité","")</f>
        <v>Égalité</v>
      </c>
      <c r="AA25" s="68">
        <f>IF(Z25="Égalité",Y25,"")</f>
        <v>1</v>
      </c>
      <c r="AB25" s="68">
        <f>IF(Z25="Égalité",MAX(AA$25:AA$27),"")</f>
        <v>1</v>
      </c>
      <c r="AC25" s="68">
        <f>IF(Z25="Égalité",MIN(AA$25:AA$27),"")</f>
        <v>1</v>
      </c>
      <c r="AD25" s="68">
        <f>COUNTIF(Y$25:Y$27,Y25)</f>
        <v>3</v>
      </c>
      <c r="AE25" s="68">
        <f>$J6</f>
        <v>0</v>
      </c>
      <c r="AF25" s="68" t="str">
        <f>IF(Z25="Égalité",IF(Y25=AB25,"Égalité",""),"")</f>
        <v>Égalité</v>
      </c>
      <c r="AG25" s="69">
        <f>IF(Z25="Égalité",IF(Y25=AB25,AE25,""),"")</f>
        <v>0</v>
      </c>
      <c r="AH25" s="67">
        <f>IF(Z25="Égalité",IF(AND(AB25&lt;&gt;AC25,AA25=MAX(AA$25:AA$27)),IF(AG25=MIN(AG$25:AG$27),Y25+(COUNTIF(AF$25:AF$27,"Égalité")-1),Y25),IF(AG25=MIN(AG$25:AG$27),Y25+(AD25-1),Y25)),Y25)</f>
        <v>3</v>
      </c>
      <c r="AI25" s="68" t="str">
        <f>IF(OR(AH25=AH26,AH25=AH27),"Égalité","")</f>
        <v>Égalité</v>
      </c>
      <c r="AJ25" s="68">
        <f>IF(AI25="Égalité",AH25,"")</f>
        <v>3</v>
      </c>
      <c r="AK25" s="68">
        <f>IF(AI25="Égalité",MAX(AJ$25:AJ$27),"")</f>
        <v>3</v>
      </c>
      <c r="AL25" s="68">
        <f>IF(AI25="Égalité",MIN(AJ$25:AJ$27),"")</f>
        <v>3</v>
      </c>
      <c r="AM25" s="68">
        <f>COUNTIF(AH$25:AH$27,AH25)</f>
        <v>3</v>
      </c>
      <c r="AN25" s="68">
        <f>$J6</f>
        <v>0</v>
      </c>
      <c r="AO25" s="68" t="str">
        <f>IF(AI25="Égalité",IF(AH25=AK25,"Égalité",""),"")</f>
        <v>Égalité</v>
      </c>
      <c r="AP25" s="69">
        <f>IF(AI25="Égalité",IF(AH25=AK25,AN25,""),"")</f>
        <v>0</v>
      </c>
      <c r="AQ25" s="67">
        <f>IF(AI25="Égalité",IF(AND(AK25&lt;&gt;AL25,AJ25=MAX(AJ$25:AJ$27)),IF(AP25=MIN(AP$25:AP$27),AH25+(COUNTIF(AO$25:AO$27,"Égalité")-1),AH25),IF(AP25=MIN(AP$25:AP$27),AH25+(AM25-1),AH25)),AH25)</f>
        <v>5</v>
      </c>
      <c r="AR25" s="4"/>
      <c r="AS25" s="4"/>
    </row>
    <row r="26" spans="2:45" x14ac:dyDescent="0.25">
      <c r="Y26" s="117">
        <f>N7</f>
        <v>1</v>
      </c>
      <c r="Z26" s="118" t="str">
        <f>IF(OR(Y26=Y27,Y26=Y25),"Égalité","")</f>
        <v>Égalité</v>
      </c>
      <c r="AA26" s="118">
        <f t="shared" ref="AA26" si="21">IF(Z26="Égalité",Y26,"")</f>
        <v>1</v>
      </c>
      <c r="AB26" s="118">
        <f t="shared" ref="AB26" si="22">IF(Z26="Égalité",MAX(AA$25:AA$27),"")</f>
        <v>1</v>
      </c>
      <c r="AC26" s="118">
        <f t="shared" ref="AC26:AC27" si="23">IF(Z26="Égalité",MIN(AA$25:AA$27),"")</f>
        <v>1</v>
      </c>
      <c r="AD26" s="118">
        <f t="shared" ref="AD26" si="24">COUNTIF(Y$25:Y$27,Y26)</f>
        <v>3</v>
      </c>
      <c r="AE26" s="118">
        <f t="shared" ref="AE26:AE27" si="25">$J7</f>
        <v>0</v>
      </c>
      <c r="AF26" s="118" t="str">
        <f t="shared" ref="AF26" si="26">IF(Z26="Égalité",IF(Y26=AB26,"Égalité",""),"")</f>
        <v>Égalité</v>
      </c>
      <c r="AG26" s="119">
        <f t="shared" ref="AG26:AG27" si="27">IF(Z26="Égalité",IF(Y26=AB26,AE26,""),"")</f>
        <v>0</v>
      </c>
      <c r="AH26" s="117">
        <f t="shared" ref="AH26" si="28">IF(Z26="Égalité",IF(AND(AB26&lt;&gt;AC26,AA26=MAX(AA$25:AA$27)),IF(AG26=MIN(AG$25:AG$27),Y26+(COUNTIF(AF$25:AF$27,"Égalité")-1),Y26),IF(AG26=MIN(AG$25:AG$27),Y26+(AD26-1),Y26)),Y26)</f>
        <v>3</v>
      </c>
      <c r="AI26" s="118" t="str">
        <f>IF(OR(AH26=AH27,AH26=AH25),"Égalité","")</f>
        <v>Égalité</v>
      </c>
      <c r="AJ26" s="118">
        <f t="shared" ref="AJ26:AJ27" si="29">IF(AI26="Égalité",AH26,"")</f>
        <v>3</v>
      </c>
      <c r="AK26" s="118">
        <f t="shared" ref="AK26:AK27" si="30">IF(AI26="Égalité",MAX(AJ$25:AJ$27),"")</f>
        <v>3</v>
      </c>
      <c r="AL26" s="118">
        <f t="shared" ref="AL26:AL27" si="31">IF(AI26="Égalité",MIN(AJ$25:AJ$27),"")</f>
        <v>3</v>
      </c>
      <c r="AM26" s="118">
        <f t="shared" ref="AM26:AM27" si="32">COUNTIF(AH$25:AH$27,AH26)</f>
        <v>3</v>
      </c>
      <c r="AN26" s="118">
        <f t="shared" ref="AN26:AN27" si="33">$J7</f>
        <v>0</v>
      </c>
      <c r="AO26" s="118" t="str">
        <f t="shared" ref="AO26:AO27" si="34">IF(AI26="Égalité",IF(AH26=AK26,"Égalité",""),"")</f>
        <v>Égalité</v>
      </c>
      <c r="AP26" s="119">
        <f t="shared" ref="AP26:AP27" si="35">IF(AI26="Égalité",IF(AH26=AK26,AN26,""),"")</f>
        <v>0</v>
      </c>
      <c r="AQ26" s="117">
        <f t="shared" ref="AQ26:AQ27" si="36">IF(AI26="Égalité",IF(AND(AK26&lt;&gt;AL26,AJ26=MAX(AJ$25:AJ$27)),IF(AP26=MIN(AP$25:AP$27),AH26+(COUNTIF(AO$25:AO$27,"Égalité")-1),AH26),IF(AP26=MIN(AP$25:AP$27),AH26+(AM26-1),AH26)),AH26)</f>
        <v>5</v>
      </c>
    </row>
    <row r="27" spans="2:45" ht="15.75" thickBot="1" x14ac:dyDescent="0.3">
      <c r="Y27" s="120">
        <f>N8</f>
        <v>1</v>
      </c>
      <c r="Z27" s="121" t="str">
        <f>IF(OR(Y27=Y26,Y27=Y25),"Égalité","")</f>
        <v>Égalité</v>
      </c>
      <c r="AA27" s="121">
        <f>IF(Z27="Égalité",Y27,"")</f>
        <v>1</v>
      </c>
      <c r="AB27" s="121">
        <f>IF(Z27="Égalité",MAX(AA$25:AA$27),"")</f>
        <v>1</v>
      </c>
      <c r="AC27" s="121">
        <f t="shared" si="23"/>
        <v>1</v>
      </c>
      <c r="AD27" s="121">
        <f>COUNTIF(Y$25:Y$27,Y27)</f>
        <v>3</v>
      </c>
      <c r="AE27" s="121">
        <f t="shared" si="25"/>
        <v>0</v>
      </c>
      <c r="AF27" s="121" t="str">
        <f>IF(Z27="Égalité",IF(Y27=AB27,"Égalité",""),"")</f>
        <v>Égalité</v>
      </c>
      <c r="AG27" s="122">
        <f t="shared" si="27"/>
        <v>0</v>
      </c>
      <c r="AH27" s="120">
        <f>IF(Z27="Égalité",IF(AND(AB27&lt;&gt;AC27,AA27=MAX(AA$25:AA$27)),IF(AG27=MIN(AG$25:AG$27),Y27+(COUNTIF(AF$25:AF$27,"Égalité")-1),Y27),IF(AG27=MIN(AG$25:AG$27),Y27+(AD27-1),Y27)),Y27)</f>
        <v>3</v>
      </c>
      <c r="AI27" s="121" t="str">
        <f>IF(OR(AH27=AH26,AH27=AH25),"Égalité","")</f>
        <v>Égalité</v>
      </c>
      <c r="AJ27" s="121">
        <f t="shared" si="29"/>
        <v>3</v>
      </c>
      <c r="AK27" s="121">
        <f t="shared" si="30"/>
        <v>3</v>
      </c>
      <c r="AL27" s="121">
        <f t="shared" si="31"/>
        <v>3</v>
      </c>
      <c r="AM27" s="121">
        <f t="shared" si="32"/>
        <v>3</v>
      </c>
      <c r="AN27" s="121">
        <f t="shared" si="33"/>
        <v>0</v>
      </c>
      <c r="AO27" s="121" t="str">
        <f t="shared" si="34"/>
        <v>Égalité</v>
      </c>
      <c r="AP27" s="122">
        <f t="shared" si="35"/>
        <v>0</v>
      </c>
      <c r="AQ27" s="120">
        <f t="shared" si="36"/>
        <v>5</v>
      </c>
    </row>
  </sheetData>
  <mergeCells count="4">
    <mergeCell ref="D14:F14"/>
    <mergeCell ref="D15:F15"/>
    <mergeCell ref="D16:F16"/>
    <mergeCell ref="D17:F17"/>
  </mergeCells>
  <conditionalFormatting sqref="G6:G12">
    <cfRule type="cellIs" dxfId="9" priority="8" operator="equal">
      <formula>"Égalité"</formula>
    </cfRule>
  </conditionalFormatting>
  <conditionalFormatting sqref="I15:I17">
    <cfRule type="cellIs" dxfId="8" priority="6" operator="lessThan">
      <formula>0</formula>
    </cfRule>
  </conditionalFormatting>
  <conditionalFormatting sqref="C6:C12">
    <cfRule type="cellIs" dxfId="7" priority="5" operator="equal">
      <formula>0</formula>
    </cfRule>
  </conditionalFormatting>
  <conditionalFormatting sqref="D5:F5">
    <cfRule type="cellIs" dxfId="6" priority="4" operator="equal">
      <formula>0</formula>
    </cfRule>
  </conditionalFormatting>
  <conditionalFormatting sqref="D6:F12">
    <cfRule type="cellIs" dxfId="5" priority="1" operator="equal">
      <formula>"X"</formula>
    </cfRule>
  </conditionalFormatting>
  <pageMargins left="0.7" right="0.7" top="0.75" bottom="0.75" header="0.3" footer="0.3"/>
  <pageSetup orientation="portrait" r:id="rId1"/>
  <ignoredErrors>
    <ignoredError sqref="AA26:AN27 AC25:AK25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24"/>
  <sheetViews>
    <sheetView zoomScaleNormal="100" workbookViewId="0">
      <selection activeCell="AV9" sqref="AV9"/>
    </sheetView>
  </sheetViews>
  <sheetFormatPr baseColWidth="10" defaultRowHeight="15" x14ac:dyDescent="0.25"/>
  <cols>
    <col min="1" max="1" width="2.7109375" style="106" customWidth="1"/>
    <col min="2" max="2" width="11.42578125" style="106"/>
    <col min="3" max="3" width="27.85546875" style="106" customWidth="1"/>
    <col min="4" max="6" width="14.42578125" style="106" customWidth="1"/>
    <col min="7" max="7" width="28.28515625" style="106" customWidth="1"/>
    <col min="8" max="9" width="27.28515625" style="106" customWidth="1"/>
    <col min="10" max="11" width="26.140625" style="106" customWidth="1"/>
    <col min="12" max="12" width="11.28515625" style="106" customWidth="1"/>
    <col min="13" max="21" width="12.42578125" style="106" hidden="1" customWidth="1"/>
    <col min="22" max="45" width="11.42578125" style="106" hidden="1" customWidth="1"/>
    <col min="46" max="16384" width="11.42578125" style="106"/>
  </cols>
  <sheetData>
    <row r="1" spans="2:45" ht="7.5" customHeight="1" thickBot="1" x14ac:dyDescent="0.3"/>
    <row r="2" spans="2:45" s="105" customFormat="1" ht="40.5" customHeight="1" x14ac:dyDescent="0.65">
      <c r="B2" s="46"/>
      <c r="C2" s="90" t="s">
        <v>35</v>
      </c>
      <c r="D2" s="47"/>
      <c r="E2" s="47"/>
      <c r="F2" s="47"/>
      <c r="G2" s="47"/>
      <c r="H2" s="47"/>
      <c r="I2" s="47"/>
      <c r="J2" s="47"/>
      <c r="K2" s="47"/>
      <c r="L2" s="4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2:45" s="105" customFormat="1" ht="40.5" customHeight="1" x14ac:dyDescent="0.65">
      <c r="B3" s="91"/>
      <c r="C3" s="92" t="s">
        <v>22</v>
      </c>
      <c r="D3" s="49"/>
      <c r="E3" s="49"/>
      <c r="F3" s="49"/>
      <c r="G3" s="49"/>
      <c r="H3" s="49"/>
      <c r="I3" s="92" t="s">
        <v>23</v>
      </c>
      <c r="J3" s="49"/>
      <c r="K3" s="49"/>
      <c r="L3" s="5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2:45" s="105" customFormat="1" ht="27" customHeight="1" thickBot="1" x14ac:dyDescent="0.3">
      <c r="B4" s="91"/>
      <c r="C4" s="93" t="s">
        <v>37</v>
      </c>
      <c r="D4" s="93">
        <f>SMU1T!D4</f>
        <v>7</v>
      </c>
      <c r="E4" s="49"/>
      <c r="F4" s="49"/>
      <c r="G4" s="49"/>
      <c r="H4" s="49"/>
      <c r="I4" s="93" t="s">
        <v>37</v>
      </c>
      <c r="J4" s="93">
        <v>7</v>
      </c>
      <c r="K4" s="49"/>
      <c r="L4" s="5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2:45" ht="29.25" thickBot="1" x14ac:dyDescent="0.3">
      <c r="B5" s="95"/>
      <c r="C5" s="13"/>
      <c r="D5" s="14" t="str">
        <f>PA</f>
        <v>Parti A</v>
      </c>
      <c r="E5" s="14" t="str">
        <f>PB</f>
        <v>Parti B</v>
      </c>
      <c r="F5" s="14" t="str">
        <f>PC</f>
        <v>Parti C</v>
      </c>
      <c r="G5" s="15" t="s">
        <v>6</v>
      </c>
      <c r="H5" s="96"/>
      <c r="I5" s="13"/>
      <c r="J5" s="14" t="s">
        <v>25</v>
      </c>
      <c r="K5" s="26" t="s">
        <v>24</v>
      </c>
      <c r="L5" s="97"/>
      <c r="M5" s="81" t="s">
        <v>40</v>
      </c>
      <c r="N5" s="81" t="s">
        <v>59</v>
      </c>
      <c r="O5" s="81" t="s">
        <v>60</v>
      </c>
      <c r="P5" s="81" t="s">
        <v>40</v>
      </c>
      <c r="Q5" s="81" t="s">
        <v>41</v>
      </c>
      <c r="R5" s="81" t="s">
        <v>65</v>
      </c>
      <c r="S5" s="81" t="s">
        <v>39</v>
      </c>
      <c r="T5" s="81" t="s">
        <v>17</v>
      </c>
      <c r="U5" s="81" t="s">
        <v>16</v>
      </c>
      <c r="V5" s="4"/>
      <c r="W5" s="4"/>
      <c r="X5" s="4"/>
      <c r="Y5" s="4"/>
      <c r="Z5" s="4">
        <v>1</v>
      </c>
      <c r="AA5" s="4">
        <v>2</v>
      </c>
      <c r="AB5" s="4">
        <v>3</v>
      </c>
      <c r="AC5" s="4">
        <v>4</v>
      </c>
      <c r="AD5" s="4">
        <v>5</v>
      </c>
      <c r="AE5" s="4">
        <v>6</v>
      </c>
      <c r="AF5" s="4">
        <v>7</v>
      </c>
      <c r="AG5" s="4">
        <v>8</v>
      </c>
      <c r="AH5" s="4">
        <v>9</v>
      </c>
      <c r="AI5" s="4">
        <v>10</v>
      </c>
      <c r="AJ5" s="4">
        <v>11</v>
      </c>
      <c r="AK5" s="4">
        <v>12</v>
      </c>
      <c r="AL5" s="4">
        <v>13</v>
      </c>
      <c r="AM5" s="4">
        <v>14</v>
      </c>
      <c r="AN5" s="4">
        <v>15</v>
      </c>
      <c r="AO5" s="4">
        <v>16</v>
      </c>
      <c r="AP5" s="4">
        <v>17</v>
      </c>
      <c r="AQ5" s="4">
        <v>18</v>
      </c>
      <c r="AR5" s="4">
        <v>19</v>
      </c>
      <c r="AS5" s="4">
        <v>20</v>
      </c>
    </row>
    <row r="6" spans="2:45" ht="28.5" x14ac:dyDescent="0.25">
      <c r="B6" s="95"/>
      <c r="C6" s="17">
        <f>CA</f>
        <v>1</v>
      </c>
      <c r="D6" s="58" t="str">
        <f>IF($R$10=0,"",'Mixte comp'!D6)</f>
        <v/>
      </c>
      <c r="E6" s="58" t="str">
        <f>IF($R$10=0,"",'Mixte comp'!E6)</f>
        <v/>
      </c>
      <c r="F6" s="58" t="str">
        <f>IF($R$10=0,"",'Mixte comp'!F6)</f>
        <v/>
      </c>
      <c r="G6" s="18" t="str">
        <f>IF(F6="","",IF(D6=MAX(D6:F6),IF(OR(D6=E6,D6=F6),"Égalité","Parti A"),IF(E6=MAX(D6:F6),IF(OR(E6=D6,E6=F6),"Égalité","Parti B"),IF(F6=MAX(D6:F6),IF(OR(F6=E6,F6=D6),"Égalité","Parti C")))))</f>
        <v/>
      </c>
      <c r="H6" s="96"/>
      <c r="I6" s="17" t="s">
        <v>0</v>
      </c>
      <c r="J6" s="58" t="str">
        <f>IF('Mixte comp'!J6="","",'Mixte comp'!J6)</f>
        <v/>
      </c>
      <c r="K6" s="29" t="str">
        <f>'Mixte comp'!K6</f>
        <v/>
      </c>
      <c r="L6" s="97"/>
      <c r="M6" s="81" t="str">
        <f>PA</f>
        <v>Parti A</v>
      </c>
      <c r="N6" s="81" t="e">
        <f>RANK(S6,$S$6:$S$8)</f>
        <v>#VALUE!</v>
      </c>
      <c r="O6" s="81" t="e">
        <f>AQ22</f>
        <v>#VALUE!</v>
      </c>
      <c r="P6" s="81" t="s">
        <v>0</v>
      </c>
      <c r="Q6" s="81" t="str">
        <f>IF(R9=0,"",COUNTIF($G$6:$G$12,P6))</f>
        <v/>
      </c>
      <c r="R6" s="81" t="e">
        <f>Y13</f>
        <v>#VALUE!</v>
      </c>
      <c r="S6" s="81" t="e">
        <f>Q6+R6</f>
        <v>#VALUE!</v>
      </c>
      <c r="T6" s="82" t="str">
        <f>IFERROR(S6/($J$4+$D$4),"")</f>
        <v/>
      </c>
      <c r="U6" s="82" t="str">
        <f>IF(R9=0,"",SUM(D6:D12)/R9)</f>
        <v/>
      </c>
      <c r="V6" s="4"/>
      <c r="W6" s="4"/>
      <c r="X6" s="4"/>
      <c r="Y6" s="4" t="s">
        <v>31</v>
      </c>
      <c r="Z6" s="4" t="e">
        <f>$J6/Z$5</f>
        <v>#VALUE!</v>
      </c>
      <c r="AA6" s="4" t="e">
        <f t="shared" ref="AA6:AP8" si="0">$J6/AA$5</f>
        <v>#VALUE!</v>
      </c>
      <c r="AB6" s="4" t="e">
        <f t="shared" si="0"/>
        <v>#VALUE!</v>
      </c>
      <c r="AC6" s="4" t="e">
        <f t="shared" si="0"/>
        <v>#VALUE!</v>
      </c>
      <c r="AD6" s="4" t="e">
        <f t="shared" si="0"/>
        <v>#VALUE!</v>
      </c>
      <c r="AE6" s="4" t="e">
        <f t="shared" si="0"/>
        <v>#VALUE!</v>
      </c>
      <c r="AF6" s="4" t="e">
        <f t="shared" si="0"/>
        <v>#VALUE!</v>
      </c>
      <c r="AG6" s="4" t="e">
        <f t="shared" si="0"/>
        <v>#VALUE!</v>
      </c>
      <c r="AH6" s="4" t="e">
        <f t="shared" si="0"/>
        <v>#VALUE!</v>
      </c>
      <c r="AI6" s="4" t="e">
        <f t="shared" si="0"/>
        <v>#VALUE!</v>
      </c>
      <c r="AJ6" s="4" t="e">
        <f t="shared" si="0"/>
        <v>#VALUE!</v>
      </c>
      <c r="AK6" s="4" t="e">
        <f t="shared" si="0"/>
        <v>#VALUE!</v>
      </c>
      <c r="AL6" s="4" t="e">
        <f t="shared" si="0"/>
        <v>#VALUE!</v>
      </c>
      <c r="AM6" s="4" t="e">
        <f t="shared" si="0"/>
        <v>#VALUE!</v>
      </c>
      <c r="AN6" s="4" t="e">
        <f t="shared" si="0"/>
        <v>#VALUE!</v>
      </c>
      <c r="AO6" s="4" t="e">
        <f t="shared" si="0"/>
        <v>#VALUE!</v>
      </c>
      <c r="AP6" s="4" t="e">
        <f t="shared" si="0"/>
        <v>#VALUE!</v>
      </c>
      <c r="AQ6" s="4" t="e">
        <f t="shared" ref="AQ6:AS8" si="1">$J6/AQ$5</f>
        <v>#VALUE!</v>
      </c>
      <c r="AR6" s="4" t="e">
        <f t="shared" si="1"/>
        <v>#VALUE!</v>
      </c>
      <c r="AS6" s="4" t="e">
        <f t="shared" si="1"/>
        <v>#VALUE!</v>
      </c>
    </row>
    <row r="7" spans="2:45" ht="28.5" x14ac:dyDescent="0.25">
      <c r="B7" s="95"/>
      <c r="C7" s="17">
        <f>CB</f>
        <v>2</v>
      </c>
      <c r="D7" s="58" t="str">
        <f>IF($R$10=0,"",'Mixte comp'!D7)</f>
        <v/>
      </c>
      <c r="E7" s="58" t="str">
        <f>IF($R$10=0,"",'Mixte comp'!E7)</f>
        <v/>
      </c>
      <c r="F7" s="58" t="str">
        <f>IF($R$10=0,"",'Mixte comp'!F7)</f>
        <v/>
      </c>
      <c r="G7" s="18" t="str">
        <f t="shared" ref="G7:G12" si="2">IF(F7="","",IF(D7=MAX(D7:F7),IF(OR(D7=E7,D7=F7),"Égalité","Parti A"),IF(E7=MAX(D7:F7),IF(OR(E7=D7,E7=F7),"Égalité","Parti B"),IF(F7=MAX(D7:F7),IF(OR(F7=E7,F7=D7),"Égalité","Parti C")))))</f>
        <v/>
      </c>
      <c r="H7" s="96"/>
      <c r="I7" s="17" t="s">
        <v>1</v>
      </c>
      <c r="J7" s="58" t="str">
        <f>IF('Mixte comp'!J7="","",'Mixte comp'!J7)</f>
        <v/>
      </c>
      <c r="K7" s="29" t="str">
        <f>'Mixte comp'!K7</f>
        <v/>
      </c>
      <c r="L7" s="97"/>
      <c r="M7" s="81" t="str">
        <f>PB</f>
        <v>Parti B</v>
      </c>
      <c r="N7" s="81" t="e">
        <f>RANK(S7,$S$6:$S$8)</f>
        <v>#VALUE!</v>
      </c>
      <c r="O7" s="81" t="e">
        <f t="shared" ref="O7:O8" si="3">AQ23</f>
        <v>#VALUE!</v>
      </c>
      <c r="P7" s="81" t="s">
        <v>1</v>
      </c>
      <c r="Q7" s="81" t="str">
        <f>IF(R9=0,"",COUNTIF($G$6:$G$12,P7))</f>
        <v/>
      </c>
      <c r="R7" s="81" t="e">
        <f>Y14</f>
        <v>#VALUE!</v>
      </c>
      <c r="S7" s="81" t="e">
        <f>Q7+R7</f>
        <v>#VALUE!</v>
      </c>
      <c r="T7" s="82" t="str">
        <f t="shared" ref="T7:T8" si="4">IFERROR(S7/($J$4+$D$4),"")</f>
        <v/>
      </c>
      <c r="U7" s="82" t="str">
        <f>IF(R9=0,"",SUM(E6:E12)/R9)</f>
        <v/>
      </c>
      <c r="V7" s="4"/>
      <c r="W7" s="4"/>
      <c r="X7" s="4"/>
      <c r="Y7" s="4" t="s">
        <v>32</v>
      </c>
      <c r="Z7" s="4" t="e">
        <f t="shared" ref="Z7:Z8" si="5">$J7/Z$5</f>
        <v>#VALUE!</v>
      </c>
      <c r="AA7" s="4" t="e">
        <f t="shared" si="0"/>
        <v>#VALUE!</v>
      </c>
      <c r="AB7" s="4" t="e">
        <f t="shared" si="0"/>
        <v>#VALUE!</v>
      </c>
      <c r="AC7" s="4" t="e">
        <f t="shared" si="0"/>
        <v>#VALUE!</v>
      </c>
      <c r="AD7" s="4" t="e">
        <f t="shared" si="0"/>
        <v>#VALUE!</v>
      </c>
      <c r="AE7" s="4" t="e">
        <f t="shared" si="0"/>
        <v>#VALUE!</v>
      </c>
      <c r="AF7" s="4" t="e">
        <f t="shared" si="0"/>
        <v>#VALUE!</v>
      </c>
      <c r="AG7" s="4" t="e">
        <f t="shared" si="0"/>
        <v>#VALUE!</v>
      </c>
      <c r="AH7" s="4" t="e">
        <f t="shared" si="0"/>
        <v>#VALUE!</v>
      </c>
      <c r="AI7" s="4" t="e">
        <f t="shared" si="0"/>
        <v>#VALUE!</v>
      </c>
      <c r="AJ7" s="4" t="e">
        <f t="shared" si="0"/>
        <v>#VALUE!</v>
      </c>
      <c r="AK7" s="4" t="e">
        <f t="shared" si="0"/>
        <v>#VALUE!</v>
      </c>
      <c r="AL7" s="4" t="e">
        <f t="shared" si="0"/>
        <v>#VALUE!</v>
      </c>
      <c r="AM7" s="4" t="e">
        <f t="shared" si="0"/>
        <v>#VALUE!</v>
      </c>
      <c r="AN7" s="4" t="e">
        <f t="shared" si="0"/>
        <v>#VALUE!</v>
      </c>
      <c r="AO7" s="4" t="e">
        <f t="shared" si="0"/>
        <v>#VALUE!</v>
      </c>
      <c r="AP7" s="4" t="e">
        <f t="shared" si="0"/>
        <v>#VALUE!</v>
      </c>
      <c r="AQ7" s="4" t="e">
        <f t="shared" si="1"/>
        <v>#VALUE!</v>
      </c>
      <c r="AR7" s="4" t="e">
        <f t="shared" si="1"/>
        <v>#VALUE!</v>
      </c>
      <c r="AS7" s="4" t="e">
        <f t="shared" si="1"/>
        <v>#VALUE!</v>
      </c>
    </row>
    <row r="8" spans="2:45" ht="29.25" thickBot="1" x14ac:dyDescent="0.3">
      <c r="B8" s="95"/>
      <c r="C8" s="17">
        <f>CC</f>
        <v>3</v>
      </c>
      <c r="D8" s="58" t="str">
        <f>IF($R$10=0,"",'Mixte comp'!D8)</f>
        <v/>
      </c>
      <c r="E8" s="58" t="str">
        <f>IF($R$10=0,"",'Mixte comp'!E8)</f>
        <v/>
      </c>
      <c r="F8" s="58" t="str">
        <f>IF($R$10=0,"",'Mixte comp'!F8)</f>
        <v/>
      </c>
      <c r="G8" s="18" t="str">
        <f t="shared" si="2"/>
        <v/>
      </c>
      <c r="H8" s="96"/>
      <c r="I8" s="19" t="s">
        <v>2</v>
      </c>
      <c r="J8" s="59" t="str">
        <f>IF('Mixte comp'!J8="","",'Mixte comp'!J8)</f>
        <v/>
      </c>
      <c r="K8" s="30" t="str">
        <f>'Mixte comp'!K8</f>
        <v/>
      </c>
      <c r="L8" s="97"/>
      <c r="M8" s="81" t="str">
        <f>PC</f>
        <v>Parti C</v>
      </c>
      <c r="N8" s="81" t="e">
        <f>RANK(S8,$S$6:$S$8)</f>
        <v>#VALUE!</v>
      </c>
      <c r="O8" s="81" t="e">
        <f t="shared" si="3"/>
        <v>#VALUE!</v>
      </c>
      <c r="P8" s="81" t="s">
        <v>2</v>
      </c>
      <c r="Q8" s="81" t="str">
        <f>IF(R9=0,"",COUNTIF($G$6:$G$12,P8))</f>
        <v/>
      </c>
      <c r="R8" s="81" t="e">
        <f>Y15</f>
        <v>#VALUE!</v>
      </c>
      <c r="S8" s="81" t="e">
        <f>Q8+R8</f>
        <v>#VALUE!</v>
      </c>
      <c r="T8" s="82" t="str">
        <f t="shared" si="4"/>
        <v/>
      </c>
      <c r="U8" s="82" t="str">
        <f>IF(R9=0,"",SUM($F$6:$F$12)/$R$9)</f>
        <v/>
      </c>
      <c r="V8" s="4"/>
      <c r="W8" s="4"/>
      <c r="X8" s="4"/>
      <c r="Y8" s="4" t="s">
        <v>33</v>
      </c>
      <c r="Z8" s="4" t="e">
        <f t="shared" si="5"/>
        <v>#VALUE!</v>
      </c>
      <c r="AA8" s="4" t="e">
        <f t="shared" si="0"/>
        <v>#VALUE!</v>
      </c>
      <c r="AB8" s="4" t="e">
        <f t="shared" si="0"/>
        <v>#VALUE!</v>
      </c>
      <c r="AC8" s="4" t="e">
        <f t="shared" si="0"/>
        <v>#VALUE!</v>
      </c>
      <c r="AD8" s="4" t="e">
        <f t="shared" si="0"/>
        <v>#VALUE!</v>
      </c>
      <c r="AE8" s="4" t="e">
        <f t="shared" si="0"/>
        <v>#VALUE!</v>
      </c>
      <c r="AF8" s="4" t="e">
        <f t="shared" si="0"/>
        <v>#VALUE!</v>
      </c>
      <c r="AG8" s="4" t="e">
        <f t="shared" si="0"/>
        <v>#VALUE!</v>
      </c>
      <c r="AH8" s="4" t="e">
        <f t="shared" si="0"/>
        <v>#VALUE!</v>
      </c>
      <c r="AI8" s="4" t="e">
        <f t="shared" si="0"/>
        <v>#VALUE!</v>
      </c>
      <c r="AJ8" s="4" t="e">
        <f t="shared" si="0"/>
        <v>#VALUE!</v>
      </c>
      <c r="AK8" s="4" t="e">
        <f t="shared" si="0"/>
        <v>#VALUE!</v>
      </c>
      <c r="AL8" s="4" t="e">
        <f t="shared" si="0"/>
        <v>#VALUE!</v>
      </c>
      <c r="AM8" s="4" t="e">
        <f t="shared" si="0"/>
        <v>#VALUE!</v>
      </c>
      <c r="AN8" s="4" t="e">
        <f t="shared" si="0"/>
        <v>#VALUE!</v>
      </c>
      <c r="AO8" s="4" t="e">
        <f t="shared" si="0"/>
        <v>#VALUE!</v>
      </c>
      <c r="AP8" s="4" t="e">
        <f t="shared" si="0"/>
        <v>#VALUE!</v>
      </c>
      <c r="AQ8" s="4" t="e">
        <f t="shared" si="1"/>
        <v>#VALUE!</v>
      </c>
      <c r="AR8" s="4" t="e">
        <f t="shared" si="1"/>
        <v>#VALUE!</v>
      </c>
      <c r="AS8" s="4" t="e">
        <f t="shared" si="1"/>
        <v>#VALUE!</v>
      </c>
    </row>
    <row r="9" spans="2:45" ht="28.5" x14ac:dyDescent="0.25">
      <c r="B9" s="95"/>
      <c r="C9" s="17">
        <f>CD</f>
        <v>4</v>
      </c>
      <c r="D9" s="58" t="str">
        <f>IF($R$10=0,"",'Mixte comp'!D9)</f>
        <v/>
      </c>
      <c r="E9" s="58" t="str">
        <f>IF($R$10=0,"",'Mixte comp'!E9)</f>
        <v/>
      </c>
      <c r="F9" s="58" t="str">
        <f>IF($R$10=0,"",'Mixte comp'!F9)</f>
        <v/>
      </c>
      <c r="G9" s="18" t="str">
        <f t="shared" si="2"/>
        <v/>
      </c>
      <c r="H9" s="96"/>
      <c r="I9" s="96"/>
      <c r="J9" s="96"/>
      <c r="K9" s="96"/>
      <c r="L9" s="97"/>
      <c r="M9" s="81"/>
      <c r="N9" s="81"/>
      <c r="O9" s="81"/>
      <c r="P9" s="81"/>
      <c r="Q9" s="81" t="s">
        <v>10</v>
      </c>
      <c r="R9" s="81">
        <f>SUM(D6:F12)</f>
        <v>0</v>
      </c>
      <c r="S9" s="81"/>
      <c r="T9" s="144">
        <f>SUM(T6:T8)</f>
        <v>0</v>
      </c>
      <c r="U9" s="144">
        <f>SUM(U6:U8)</f>
        <v>0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2:45" ht="28.5" x14ac:dyDescent="0.25">
      <c r="B10" s="95"/>
      <c r="C10" s="17">
        <f>CE</f>
        <v>5</v>
      </c>
      <c r="D10" s="58" t="str">
        <f>IF($R$10=0,"",'Mixte comp'!D10)</f>
        <v/>
      </c>
      <c r="E10" s="58" t="str">
        <f>IF($R$10=0,"",'Mixte comp'!E10)</f>
        <v/>
      </c>
      <c r="F10" s="58" t="str">
        <f>IF($R$10=0,"",'Mixte comp'!F10)</f>
        <v/>
      </c>
      <c r="G10" s="18" t="str">
        <f t="shared" si="2"/>
        <v/>
      </c>
      <c r="H10" s="96"/>
      <c r="I10" s="96"/>
      <c r="J10" s="96"/>
      <c r="K10" s="96"/>
      <c r="L10" s="97"/>
      <c r="M10" s="81"/>
      <c r="N10" s="81"/>
      <c r="O10" s="81"/>
      <c r="P10" s="81"/>
      <c r="Q10" s="81" t="s">
        <v>26</v>
      </c>
      <c r="R10" s="81">
        <f>SUM(J6:J8)</f>
        <v>0</v>
      </c>
      <c r="S10" s="81"/>
      <c r="T10" s="81"/>
      <c r="U10" s="81"/>
      <c r="V10" s="4"/>
      <c r="W10" s="4"/>
      <c r="X10" s="4"/>
      <c r="Y10" s="4"/>
      <c r="Z10" s="4" t="e">
        <f t="shared" ref="Z10:AS10" si="6">RANK(Z6,$Z$6:$AS$8)</f>
        <v>#VALUE!</v>
      </c>
      <c r="AA10" s="4" t="e">
        <f t="shared" si="6"/>
        <v>#VALUE!</v>
      </c>
      <c r="AB10" s="4" t="e">
        <f t="shared" si="6"/>
        <v>#VALUE!</v>
      </c>
      <c r="AC10" s="4" t="e">
        <f t="shared" si="6"/>
        <v>#VALUE!</v>
      </c>
      <c r="AD10" s="4" t="e">
        <f t="shared" si="6"/>
        <v>#VALUE!</v>
      </c>
      <c r="AE10" s="4" t="e">
        <f t="shared" si="6"/>
        <v>#VALUE!</v>
      </c>
      <c r="AF10" s="4" t="e">
        <f t="shared" si="6"/>
        <v>#VALUE!</v>
      </c>
      <c r="AG10" s="4" t="e">
        <f t="shared" si="6"/>
        <v>#VALUE!</v>
      </c>
      <c r="AH10" s="4" t="e">
        <f t="shared" si="6"/>
        <v>#VALUE!</v>
      </c>
      <c r="AI10" s="4" t="e">
        <f t="shared" si="6"/>
        <v>#VALUE!</v>
      </c>
      <c r="AJ10" s="4" t="e">
        <f t="shared" si="6"/>
        <v>#VALUE!</v>
      </c>
      <c r="AK10" s="4" t="e">
        <f t="shared" si="6"/>
        <v>#VALUE!</v>
      </c>
      <c r="AL10" s="4" t="e">
        <f t="shared" si="6"/>
        <v>#VALUE!</v>
      </c>
      <c r="AM10" s="4" t="e">
        <f t="shared" si="6"/>
        <v>#VALUE!</v>
      </c>
      <c r="AN10" s="4" t="e">
        <f t="shared" si="6"/>
        <v>#VALUE!</v>
      </c>
      <c r="AO10" s="4" t="e">
        <f t="shared" si="6"/>
        <v>#VALUE!</v>
      </c>
      <c r="AP10" s="4" t="e">
        <f t="shared" si="6"/>
        <v>#VALUE!</v>
      </c>
      <c r="AQ10" s="4" t="e">
        <f t="shared" si="6"/>
        <v>#VALUE!</v>
      </c>
      <c r="AR10" s="4" t="e">
        <f t="shared" si="6"/>
        <v>#VALUE!</v>
      </c>
      <c r="AS10" s="4" t="e">
        <f t="shared" si="6"/>
        <v>#VALUE!</v>
      </c>
    </row>
    <row r="11" spans="2:45" ht="28.5" x14ac:dyDescent="0.25">
      <c r="B11" s="95"/>
      <c r="C11" s="17">
        <f>CF</f>
        <v>6</v>
      </c>
      <c r="D11" s="58" t="str">
        <f>IF($R$10=0,"",'Mixte comp'!D11)</f>
        <v/>
      </c>
      <c r="E11" s="58" t="str">
        <f>IF($R$10=0,"",'Mixte comp'!E11)</f>
        <v/>
      </c>
      <c r="F11" s="58" t="str">
        <f>IF($R$10=0,"",'Mixte comp'!F11)</f>
        <v/>
      </c>
      <c r="G11" s="18" t="str">
        <f t="shared" si="2"/>
        <v/>
      </c>
      <c r="H11" s="96"/>
      <c r="I11" s="96"/>
      <c r="J11" s="96"/>
      <c r="K11" s="96"/>
      <c r="L11" s="97"/>
      <c r="M11" s="16"/>
      <c r="N11" s="16"/>
      <c r="O11" s="16"/>
      <c r="P11" s="4"/>
      <c r="Q11" s="4"/>
      <c r="R11" s="4"/>
      <c r="S11" s="4"/>
      <c r="T11" s="4"/>
      <c r="U11" s="4"/>
      <c r="V11" s="4"/>
      <c r="W11" s="4"/>
      <c r="X11" s="4"/>
      <c r="Y11" s="4"/>
      <c r="Z11" s="4" t="e">
        <f t="shared" ref="Z11:AS11" si="7">RANK(Z7,$Z$6:$AS$8)</f>
        <v>#VALUE!</v>
      </c>
      <c r="AA11" s="4" t="e">
        <f t="shared" si="7"/>
        <v>#VALUE!</v>
      </c>
      <c r="AB11" s="4" t="e">
        <f t="shared" si="7"/>
        <v>#VALUE!</v>
      </c>
      <c r="AC11" s="4" t="e">
        <f t="shared" si="7"/>
        <v>#VALUE!</v>
      </c>
      <c r="AD11" s="4" t="e">
        <f t="shared" si="7"/>
        <v>#VALUE!</v>
      </c>
      <c r="AE11" s="4" t="e">
        <f t="shared" si="7"/>
        <v>#VALUE!</v>
      </c>
      <c r="AF11" s="4" t="e">
        <f t="shared" si="7"/>
        <v>#VALUE!</v>
      </c>
      <c r="AG11" s="4" t="e">
        <f t="shared" si="7"/>
        <v>#VALUE!</v>
      </c>
      <c r="AH11" s="4" t="e">
        <f t="shared" si="7"/>
        <v>#VALUE!</v>
      </c>
      <c r="AI11" s="4" t="e">
        <f t="shared" si="7"/>
        <v>#VALUE!</v>
      </c>
      <c r="AJ11" s="4" t="e">
        <f t="shared" si="7"/>
        <v>#VALUE!</v>
      </c>
      <c r="AK11" s="4" t="e">
        <f t="shared" si="7"/>
        <v>#VALUE!</v>
      </c>
      <c r="AL11" s="4" t="e">
        <f t="shared" si="7"/>
        <v>#VALUE!</v>
      </c>
      <c r="AM11" s="4" t="e">
        <f t="shared" si="7"/>
        <v>#VALUE!</v>
      </c>
      <c r="AN11" s="4" t="e">
        <f t="shared" si="7"/>
        <v>#VALUE!</v>
      </c>
      <c r="AO11" s="4" t="e">
        <f t="shared" si="7"/>
        <v>#VALUE!</v>
      </c>
      <c r="AP11" s="4" t="e">
        <f t="shared" si="7"/>
        <v>#VALUE!</v>
      </c>
      <c r="AQ11" s="4" t="e">
        <f t="shared" si="7"/>
        <v>#VALUE!</v>
      </c>
      <c r="AR11" s="4" t="e">
        <f t="shared" si="7"/>
        <v>#VALUE!</v>
      </c>
      <c r="AS11" s="4" t="e">
        <f t="shared" si="7"/>
        <v>#VALUE!</v>
      </c>
    </row>
    <row r="12" spans="2:45" ht="29.25" thickBot="1" x14ac:dyDescent="0.3">
      <c r="B12" s="95"/>
      <c r="C12" s="19">
        <f>CG</f>
        <v>7</v>
      </c>
      <c r="D12" s="59" t="str">
        <f>IF($R$10=0,"",'Mixte comp'!D12)</f>
        <v/>
      </c>
      <c r="E12" s="59" t="str">
        <f>IF($R$10=0,"",'Mixte comp'!E12)</f>
        <v/>
      </c>
      <c r="F12" s="59" t="str">
        <f>IF($R$10=0,"",'Mixte comp'!F12)</f>
        <v/>
      </c>
      <c r="G12" s="20" t="str">
        <f t="shared" si="2"/>
        <v/>
      </c>
      <c r="H12" s="96"/>
      <c r="I12" s="96"/>
      <c r="J12" s="96"/>
      <c r="K12" s="96"/>
      <c r="L12" s="97"/>
      <c r="M12" s="16"/>
      <c r="N12" s="16"/>
      <c r="O12" s="16"/>
      <c r="P12" s="4"/>
      <c r="Q12" s="4"/>
      <c r="R12" s="4"/>
      <c r="S12" s="4"/>
      <c r="T12" s="4"/>
      <c r="U12" s="4"/>
      <c r="V12" s="4"/>
      <c r="W12" s="4"/>
      <c r="X12" s="4"/>
      <c r="Y12" s="4"/>
      <c r="Z12" s="4" t="e">
        <f t="shared" ref="Z12:AS12" si="8">RANK(Z8,$Z$6:$AS$8)</f>
        <v>#VALUE!</v>
      </c>
      <c r="AA12" s="4" t="e">
        <f t="shared" si="8"/>
        <v>#VALUE!</v>
      </c>
      <c r="AB12" s="4" t="e">
        <f t="shared" si="8"/>
        <v>#VALUE!</v>
      </c>
      <c r="AC12" s="4" t="e">
        <f t="shared" si="8"/>
        <v>#VALUE!</v>
      </c>
      <c r="AD12" s="4" t="e">
        <f t="shared" si="8"/>
        <v>#VALUE!</v>
      </c>
      <c r="AE12" s="4" t="e">
        <f t="shared" si="8"/>
        <v>#VALUE!</v>
      </c>
      <c r="AF12" s="4" t="e">
        <f t="shared" si="8"/>
        <v>#VALUE!</v>
      </c>
      <c r="AG12" s="4" t="e">
        <f t="shared" si="8"/>
        <v>#VALUE!</v>
      </c>
      <c r="AH12" s="4" t="e">
        <f t="shared" si="8"/>
        <v>#VALUE!</v>
      </c>
      <c r="AI12" s="4" t="e">
        <f t="shared" si="8"/>
        <v>#VALUE!</v>
      </c>
      <c r="AJ12" s="4" t="e">
        <f t="shared" si="8"/>
        <v>#VALUE!</v>
      </c>
      <c r="AK12" s="4" t="e">
        <f t="shared" si="8"/>
        <v>#VALUE!</v>
      </c>
      <c r="AL12" s="4" t="e">
        <f t="shared" si="8"/>
        <v>#VALUE!</v>
      </c>
      <c r="AM12" s="4" t="e">
        <f t="shared" si="8"/>
        <v>#VALUE!</v>
      </c>
      <c r="AN12" s="4" t="e">
        <f t="shared" si="8"/>
        <v>#VALUE!</v>
      </c>
      <c r="AO12" s="4" t="e">
        <f t="shared" si="8"/>
        <v>#VALUE!</v>
      </c>
      <c r="AP12" s="4" t="e">
        <f t="shared" si="8"/>
        <v>#VALUE!</v>
      </c>
      <c r="AQ12" s="4" t="e">
        <f t="shared" si="8"/>
        <v>#VALUE!</v>
      </c>
      <c r="AR12" s="4" t="e">
        <f t="shared" si="8"/>
        <v>#VALUE!</v>
      </c>
      <c r="AS12" s="4" t="e">
        <f t="shared" si="8"/>
        <v>#VALUE!</v>
      </c>
    </row>
    <row r="13" spans="2:45" ht="21" customHeight="1" thickBot="1" x14ac:dyDescent="0.3"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7"/>
      <c r="M13" s="16"/>
      <c r="N13" s="16"/>
      <c r="O13" s="16"/>
      <c r="P13" s="4"/>
      <c r="Q13" s="4"/>
      <c r="R13" s="4"/>
      <c r="S13" s="4"/>
      <c r="T13" s="4"/>
      <c r="U13" s="4"/>
      <c r="V13" s="4"/>
      <c r="W13" s="4"/>
      <c r="X13" s="4"/>
      <c r="Y13" s="4" t="e">
        <f>SUM(Z13:AS13)</f>
        <v>#VALUE!</v>
      </c>
      <c r="Z13" s="53" t="e">
        <f t="shared" ref="Z13:AS13" si="9">IF(Z10&lt;($J$4+1),1,0)</f>
        <v>#VALUE!</v>
      </c>
      <c r="AA13" s="53" t="e">
        <f t="shared" si="9"/>
        <v>#VALUE!</v>
      </c>
      <c r="AB13" s="53" t="e">
        <f t="shared" si="9"/>
        <v>#VALUE!</v>
      </c>
      <c r="AC13" s="53" t="e">
        <f t="shared" si="9"/>
        <v>#VALUE!</v>
      </c>
      <c r="AD13" s="53" t="e">
        <f t="shared" si="9"/>
        <v>#VALUE!</v>
      </c>
      <c r="AE13" s="53" t="e">
        <f t="shared" si="9"/>
        <v>#VALUE!</v>
      </c>
      <c r="AF13" s="53" t="e">
        <f t="shared" si="9"/>
        <v>#VALUE!</v>
      </c>
      <c r="AG13" s="53" t="e">
        <f t="shared" si="9"/>
        <v>#VALUE!</v>
      </c>
      <c r="AH13" s="53" t="e">
        <f t="shared" si="9"/>
        <v>#VALUE!</v>
      </c>
      <c r="AI13" s="53" t="e">
        <f t="shared" si="9"/>
        <v>#VALUE!</v>
      </c>
      <c r="AJ13" s="53" t="e">
        <f t="shared" si="9"/>
        <v>#VALUE!</v>
      </c>
      <c r="AK13" s="53" t="e">
        <f t="shared" si="9"/>
        <v>#VALUE!</v>
      </c>
      <c r="AL13" s="53" t="e">
        <f t="shared" si="9"/>
        <v>#VALUE!</v>
      </c>
      <c r="AM13" s="53" t="e">
        <f t="shared" si="9"/>
        <v>#VALUE!</v>
      </c>
      <c r="AN13" s="53" t="e">
        <f t="shared" si="9"/>
        <v>#VALUE!</v>
      </c>
      <c r="AO13" s="53" t="e">
        <f t="shared" si="9"/>
        <v>#VALUE!</v>
      </c>
      <c r="AP13" s="53" t="e">
        <f t="shared" si="9"/>
        <v>#VALUE!</v>
      </c>
      <c r="AQ13" s="53" t="e">
        <f t="shared" si="9"/>
        <v>#VALUE!</v>
      </c>
      <c r="AR13" s="53" t="e">
        <f t="shared" si="9"/>
        <v>#VALUE!</v>
      </c>
      <c r="AS13" s="53" t="e">
        <f t="shared" si="9"/>
        <v>#VALUE!</v>
      </c>
    </row>
    <row r="14" spans="2:45" ht="64.5" customHeight="1" thickBot="1" x14ac:dyDescent="0.3">
      <c r="B14" s="95"/>
      <c r="C14" s="25"/>
      <c r="D14" s="151" t="s">
        <v>11</v>
      </c>
      <c r="E14" s="152"/>
      <c r="F14" s="152"/>
      <c r="G14" s="27" t="s">
        <v>29</v>
      </c>
      <c r="H14" s="27" t="s">
        <v>28</v>
      </c>
      <c r="I14" s="28" t="s">
        <v>27</v>
      </c>
      <c r="J14" s="28" t="s">
        <v>46</v>
      </c>
      <c r="K14" s="96"/>
      <c r="L14" s="125"/>
      <c r="M14" s="24"/>
      <c r="N14" s="24"/>
      <c r="O14" s="24"/>
      <c r="P14" s="4"/>
      <c r="Q14" s="4"/>
      <c r="R14" s="4"/>
      <c r="S14" s="4"/>
      <c r="T14" s="4"/>
      <c r="U14" s="4"/>
      <c r="V14" s="4"/>
      <c r="W14" s="4"/>
      <c r="X14" s="4"/>
      <c r="Y14" s="4" t="e">
        <f t="shared" ref="Y14:Y15" si="10">SUM(Z14:AS14)</f>
        <v>#VALUE!</v>
      </c>
      <c r="Z14" s="53" t="e">
        <f t="shared" ref="Z14:AS14" si="11">IF(Z11&lt;($J$4+1),1,0)</f>
        <v>#VALUE!</v>
      </c>
      <c r="AA14" s="53" t="e">
        <f t="shared" si="11"/>
        <v>#VALUE!</v>
      </c>
      <c r="AB14" s="53" t="e">
        <f t="shared" si="11"/>
        <v>#VALUE!</v>
      </c>
      <c r="AC14" s="53" t="e">
        <f t="shared" si="11"/>
        <v>#VALUE!</v>
      </c>
      <c r="AD14" s="53" t="e">
        <f t="shared" si="11"/>
        <v>#VALUE!</v>
      </c>
      <c r="AE14" s="53" t="e">
        <f t="shared" si="11"/>
        <v>#VALUE!</v>
      </c>
      <c r="AF14" s="53" t="e">
        <f t="shared" si="11"/>
        <v>#VALUE!</v>
      </c>
      <c r="AG14" s="53" t="e">
        <f t="shared" si="11"/>
        <v>#VALUE!</v>
      </c>
      <c r="AH14" s="53" t="e">
        <f t="shared" si="11"/>
        <v>#VALUE!</v>
      </c>
      <c r="AI14" s="53" t="e">
        <f t="shared" si="11"/>
        <v>#VALUE!</v>
      </c>
      <c r="AJ14" s="53" t="e">
        <f t="shared" si="11"/>
        <v>#VALUE!</v>
      </c>
      <c r="AK14" s="53" t="e">
        <f t="shared" si="11"/>
        <v>#VALUE!</v>
      </c>
      <c r="AL14" s="53" t="e">
        <f t="shared" si="11"/>
        <v>#VALUE!</v>
      </c>
      <c r="AM14" s="53" t="e">
        <f t="shared" si="11"/>
        <v>#VALUE!</v>
      </c>
      <c r="AN14" s="53" t="e">
        <f t="shared" si="11"/>
        <v>#VALUE!</v>
      </c>
      <c r="AO14" s="53" t="e">
        <f t="shared" si="11"/>
        <v>#VALUE!</v>
      </c>
      <c r="AP14" s="53" t="e">
        <f t="shared" si="11"/>
        <v>#VALUE!</v>
      </c>
      <c r="AQ14" s="53" t="e">
        <f t="shared" si="11"/>
        <v>#VALUE!</v>
      </c>
      <c r="AR14" s="53" t="e">
        <f t="shared" si="11"/>
        <v>#VALUE!</v>
      </c>
      <c r="AS14" s="53" t="e">
        <f t="shared" si="11"/>
        <v>#VALUE!</v>
      </c>
    </row>
    <row r="15" spans="2:45" ht="28.5" x14ac:dyDescent="0.25">
      <c r="B15" s="95"/>
      <c r="C15" s="21" t="s">
        <v>3</v>
      </c>
      <c r="D15" s="145" t="str">
        <f>IFERROR(VLOOKUP($K15,$O$6:$U$8,2,FALSE),"")</f>
        <v/>
      </c>
      <c r="E15" s="146"/>
      <c r="F15" s="146"/>
      <c r="G15" s="58" t="str">
        <f>IFERROR(VLOOKUP($K15,$O$6:$U$8,3,FALSE),"")</f>
        <v/>
      </c>
      <c r="H15" s="58" t="str">
        <f>IFERROR(VLOOKUP($K15,$O$6:$U$8,4,FALSE),"")</f>
        <v/>
      </c>
      <c r="I15" s="32" t="str">
        <f>IFERROR(VLOOKUP($K15,$O$6:$U$8,5,FALSE),"")</f>
        <v/>
      </c>
      <c r="J15" s="37" t="str">
        <f>IFERROR(VLOOKUP($K15,$O$6:$U$8,6,FALSE),"")</f>
        <v/>
      </c>
      <c r="K15" s="89">
        <v>1</v>
      </c>
      <c r="L15" s="127"/>
      <c r="M15" s="22"/>
      <c r="N15" s="22"/>
      <c r="O15" s="22"/>
      <c r="P15" s="4"/>
      <c r="Q15" s="4"/>
      <c r="R15" s="4"/>
      <c r="S15" s="4"/>
      <c r="T15" s="4"/>
      <c r="U15" s="4"/>
      <c r="V15" s="4"/>
      <c r="W15" s="4"/>
      <c r="X15" s="4"/>
      <c r="Y15" s="4" t="e">
        <f t="shared" si="10"/>
        <v>#VALUE!</v>
      </c>
      <c r="Z15" s="53" t="e">
        <f t="shared" ref="Z15:AS15" si="12">IF(Z12&lt;($J$4+1),1,0)</f>
        <v>#VALUE!</v>
      </c>
      <c r="AA15" s="53" t="e">
        <f t="shared" si="12"/>
        <v>#VALUE!</v>
      </c>
      <c r="AB15" s="53" t="e">
        <f t="shared" si="12"/>
        <v>#VALUE!</v>
      </c>
      <c r="AC15" s="53" t="e">
        <f t="shared" si="12"/>
        <v>#VALUE!</v>
      </c>
      <c r="AD15" s="53" t="e">
        <f t="shared" si="12"/>
        <v>#VALUE!</v>
      </c>
      <c r="AE15" s="53" t="e">
        <f t="shared" si="12"/>
        <v>#VALUE!</v>
      </c>
      <c r="AF15" s="53" t="e">
        <f t="shared" si="12"/>
        <v>#VALUE!</v>
      </c>
      <c r="AG15" s="53" t="e">
        <f t="shared" si="12"/>
        <v>#VALUE!</v>
      </c>
      <c r="AH15" s="53" t="e">
        <f t="shared" si="12"/>
        <v>#VALUE!</v>
      </c>
      <c r="AI15" s="53" t="e">
        <f t="shared" si="12"/>
        <v>#VALUE!</v>
      </c>
      <c r="AJ15" s="53" t="e">
        <f t="shared" si="12"/>
        <v>#VALUE!</v>
      </c>
      <c r="AK15" s="53" t="e">
        <f t="shared" si="12"/>
        <v>#VALUE!</v>
      </c>
      <c r="AL15" s="53" t="e">
        <f t="shared" si="12"/>
        <v>#VALUE!</v>
      </c>
      <c r="AM15" s="53" t="e">
        <f t="shared" si="12"/>
        <v>#VALUE!</v>
      </c>
      <c r="AN15" s="53" t="e">
        <f t="shared" si="12"/>
        <v>#VALUE!</v>
      </c>
      <c r="AO15" s="53" t="e">
        <f t="shared" si="12"/>
        <v>#VALUE!</v>
      </c>
      <c r="AP15" s="53" t="e">
        <f t="shared" si="12"/>
        <v>#VALUE!</v>
      </c>
      <c r="AQ15" s="53" t="e">
        <f t="shared" si="12"/>
        <v>#VALUE!</v>
      </c>
      <c r="AR15" s="53" t="e">
        <f t="shared" si="12"/>
        <v>#VALUE!</v>
      </c>
      <c r="AS15" s="53" t="e">
        <f t="shared" si="12"/>
        <v>#VALUE!</v>
      </c>
    </row>
    <row r="16" spans="2:45" ht="28.5" x14ac:dyDescent="0.25">
      <c r="B16" s="95"/>
      <c r="C16" s="21" t="s">
        <v>4</v>
      </c>
      <c r="D16" s="147" t="str">
        <f t="shared" ref="D16:D17" si="13">IFERROR(VLOOKUP($K16,$O$6:$U$8,2,FALSE),"")</f>
        <v/>
      </c>
      <c r="E16" s="148"/>
      <c r="F16" s="148"/>
      <c r="G16" s="58" t="str">
        <f t="shared" ref="G16:G17" si="14">IFERROR(VLOOKUP($K16,$O$6:$U$8,3,FALSE),"")</f>
        <v/>
      </c>
      <c r="H16" s="58" t="str">
        <f t="shared" ref="H16:H17" si="15">IFERROR(VLOOKUP($K16,$O$6:$U$8,4,FALSE),"")</f>
        <v/>
      </c>
      <c r="I16" s="32" t="str">
        <f t="shared" ref="I16:I17" si="16">IFERROR(VLOOKUP($K16,$O$6:$U$8,5,FALSE),"")</f>
        <v/>
      </c>
      <c r="J16" s="29" t="str">
        <f t="shared" ref="J16:J17" si="17">IFERROR(VLOOKUP($K16,$O$6:$U$8,6,FALSE),"")</f>
        <v/>
      </c>
      <c r="K16" s="85">
        <v>2</v>
      </c>
      <c r="L16" s="127"/>
      <c r="M16" s="22"/>
      <c r="N16" s="22"/>
      <c r="O16" s="22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2:45" ht="29.25" thickBot="1" x14ac:dyDescent="0.3">
      <c r="B17" s="95"/>
      <c r="C17" s="23" t="s">
        <v>5</v>
      </c>
      <c r="D17" s="149" t="str">
        <f t="shared" si="13"/>
        <v/>
      </c>
      <c r="E17" s="150"/>
      <c r="F17" s="150"/>
      <c r="G17" s="59" t="str">
        <f t="shared" si="14"/>
        <v/>
      </c>
      <c r="H17" s="59" t="str">
        <f t="shared" si="15"/>
        <v/>
      </c>
      <c r="I17" s="33" t="str">
        <f t="shared" si="16"/>
        <v/>
      </c>
      <c r="J17" s="30" t="str">
        <f t="shared" si="17"/>
        <v/>
      </c>
      <c r="K17" s="85">
        <v>3</v>
      </c>
      <c r="L17" s="127"/>
      <c r="M17" s="22"/>
      <c r="N17" s="22"/>
      <c r="O17" s="22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2:45" ht="28.5" x14ac:dyDescent="0.25">
      <c r="B18" s="95"/>
      <c r="C18" s="99"/>
      <c r="D18" s="99"/>
      <c r="E18" s="99"/>
      <c r="F18" s="99"/>
      <c r="G18" s="99"/>
      <c r="H18" s="58" t="str">
        <f>IF(R10=0,"",SUM(H15:H17))</f>
        <v/>
      </c>
      <c r="I18" s="58" t="str">
        <f>IF(SUM(I15:I17)=0,"",SUM(I15:I17))</f>
        <v/>
      </c>
      <c r="J18" s="22"/>
      <c r="K18" s="22"/>
      <c r="L18" s="101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2:45" ht="15.75" thickBot="1" x14ac:dyDescent="0.3">
      <c r="B19" s="102"/>
      <c r="C19" s="103"/>
      <c r="D19" s="103"/>
      <c r="E19" s="103"/>
      <c r="F19" s="103"/>
      <c r="G19" s="103"/>
      <c r="H19" s="103"/>
      <c r="I19" s="103"/>
      <c r="J19" s="103"/>
      <c r="K19" s="103"/>
      <c r="L19" s="10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2:45" ht="15.75" thickBot="1" x14ac:dyDescent="0.3"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spans="2:45" ht="15.75" thickBot="1" x14ac:dyDescent="0.3"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70" t="s">
        <v>51</v>
      </c>
      <c r="Z21" s="71" t="s">
        <v>52</v>
      </c>
      <c r="AA21" s="71" t="s">
        <v>53</v>
      </c>
      <c r="AB21" s="71" t="s">
        <v>54</v>
      </c>
      <c r="AC21" s="71" t="s">
        <v>55</v>
      </c>
      <c r="AD21" s="71" t="s">
        <v>56</v>
      </c>
      <c r="AE21" s="71" t="s">
        <v>44</v>
      </c>
      <c r="AF21" s="71" t="s">
        <v>57</v>
      </c>
      <c r="AG21" s="72" t="s">
        <v>58</v>
      </c>
      <c r="AH21" s="70" t="s">
        <v>51</v>
      </c>
      <c r="AI21" s="71" t="s">
        <v>52</v>
      </c>
      <c r="AJ21" s="71" t="s">
        <v>53</v>
      </c>
      <c r="AK21" s="71" t="s">
        <v>54</v>
      </c>
      <c r="AL21" s="71" t="s">
        <v>55</v>
      </c>
      <c r="AM21" s="71" t="s">
        <v>56</v>
      </c>
      <c r="AN21" s="71" t="s">
        <v>44</v>
      </c>
      <c r="AO21" s="71" t="s">
        <v>57</v>
      </c>
      <c r="AP21" s="72" t="s">
        <v>58</v>
      </c>
      <c r="AQ21" s="73" t="s">
        <v>51</v>
      </c>
      <c r="AR21" s="4"/>
      <c r="AS21" s="4"/>
    </row>
    <row r="22" spans="2:45" x14ac:dyDescent="0.25"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67" t="e">
        <f>N6</f>
        <v>#VALUE!</v>
      </c>
      <c r="Z22" s="68" t="e">
        <f>IF(OR(Y22=Y23,Y22=Y24),"Égalité","")</f>
        <v>#VALUE!</v>
      </c>
      <c r="AA22" s="68" t="e">
        <f>IF(Z22="Égalité",Y22,"")</f>
        <v>#VALUE!</v>
      </c>
      <c r="AB22" s="68" t="e">
        <f>IF(Z22="Égalité",MAX(AA$22:AA$24),"")</f>
        <v>#VALUE!</v>
      </c>
      <c r="AC22" s="68" t="e">
        <f>IF(Z22="Égalité",MIN(AA$22:AA$24),"")</f>
        <v>#VALUE!</v>
      </c>
      <c r="AD22" s="68">
        <f>COUNTIF(Y$22:Y$24,Y22)</f>
        <v>3</v>
      </c>
      <c r="AE22" s="68" t="str">
        <f>$J6</f>
        <v/>
      </c>
      <c r="AF22" s="68" t="e">
        <f>IF(Z22="Égalité",IF(Y22=AB22,"Égalité",""),"")</f>
        <v>#VALUE!</v>
      </c>
      <c r="AG22" s="69" t="e">
        <f>IF(Z22="Égalité",IF(Y22=AB22,AE22,""),"")</f>
        <v>#VALUE!</v>
      </c>
      <c r="AH22" s="67" t="e">
        <f>IF(Z22="Égalité",IF(AND(AB22&lt;&gt;AC22,AA22=MAX(AA$22:AA$24)),IF(AG22=MIN(AG$22:AG$24),Y22+(COUNTIF(AF$22:AF$24,"Égalité")-1),Y22),IF(AG22=MIN(AG$22:AG$24),Y22+(AD22-1),Y22)),Y22)</f>
        <v>#VALUE!</v>
      </c>
      <c r="AI22" s="68" t="e">
        <f>IF(OR(AH22=AH23,AH22=AH24),"Égalité","")</f>
        <v>#VALUE!</v>
      </c>
      <c r="AJ22" s="68" t="e">
        <f>IF(AI22="Égalité",AH22,"")</f>
        <v>#VALUE!</v>
      </c>
      <c r="AK22" s="68" t="e">
        <f>IF(AI22="Égalité",MAX(AJ$22:AJ$24),"")</f>
        <v>#VALUE!</v>
      </c>
      <c r="AL22" s="68" t="e">
        <f>IF(AI22="Égalité",MIN(AJ$22:AJ$24),"")</f>
        <v>#VALUE!</v>
      </c>
      <c r="AM22" s="68">
        <f>COUNTIF(AH$22:AH$24,AH22)</f>
        <v>3</v>
      </c>
      <c r="AN22" s="68" t="str">
        <f>$J6</f>
        <v/>
      </c>
      <c r="AO22" s="68" t="e">
        <f>IF(AI22="Égalité",IF(AH22=AK22,"Égalité",""),"")</f>
        <v>#VALUE!</v>
      </c>
      <c r="AP22" s="69" t="e">
        <f>IF(AI22="Égalité",IF(AH22=AK22,AN22,""),"")</f>
        <v>#VALUE!</v>
      </c>
      <c r="AQ22" s="67" t="e">
        <f>IF(AI22="Égalité",IF(AND(AK22&lt;&gt;AL22,AJ22=MAX(AJ$22:AJ$24)),IF(AP22=MIN(AP$22:AP$24),AH22+(COUNTIF(AO$22:AO$24,"Égalité")-1),AH22),IF(AP22=MIN(AP$22:AP$24),AH22+(AM22-1),AH22)),AH22)</f>
        <v>#VALUE!</v>
      </c>
      <c r="AR22" s="4"/>
      <c r="AS22" s="4"/>
    </row>
    <row r="23" spans="2:45" x14ac:dyDescent="0.25">
      <c r="Y23" s="117" t="e">
        <f>N7</f>
        <v>#VALUE!</v>
      </c>
      <c r="Z23" s="118" t="e">
        <f>IF(OR(Y23=Y24,Y23=Y22),"Égalité","")</f>
        <v>#VALUE!</v>
      </c>
      <c r="AA23" s="118" t="e">
        <f t="shared" ref="AA23:AA24" si="18">IF(Z23="Égalité",Y23,"")</f>
        <v>#VALUE!</v>
      </c>
      <c r="AB23" s="118" t="e">
        <f t="shared" ref="AB23:AB24" si="19">IF(Z23="Égalité",MAX(AA$22:AA$24),"")</f>
        <v>#VALUE!</v>
      </c>
      <c r="AC23" s="118" t="e">
        <f t="shared" ref="AC23:AC24" si="20">IF(Z23="Égalité",MIN(AA$22:AA$24),"")</f>
        <v>#VALUE!</v>
      </c>
      <c r="AD23" s="118">
        <f t="shared" ref="AD23:AD24" si="21">COUNTIF(Y$22:Y$24,Y23)</f>
        <v>3</v>
      </c>
      <c r="AE23" s="118" t="str">
        <f t="shared" ref="AE23:AE24" si="22">$J7</f>
        <v/>
      </c>
      <c r="AF23" s="118" t="e">
        <f t="shared" ref="AF23:AF24" si="23">IF(Z23="Égalité",IF(Y23=AB23,"Égalité",""),"")</f>
        <v>#VALUE!</v>
      </c>
      <c r="AG23" s="119" t="e">
        <f t="shared" ref="AG23:AG24" si="24">IF(Z23="Égalité",IF(Y23=AB23,AE23,""),"")</f>
        <v>#VALUE!</v>
      </c>
      <c r="AH23" s="117" t="e">
        <f t="shared" ref="AH23:AH24" si="25">IF(Z23="Égalité",IF(AND(AB23&lt;&gt;AC23,AA23=MAX(AA$22:AA$24)),IF(AG23=MIN(AG$22:AG$24),Y23+(COUNTIF(AF$22:AF$24,"Égalité")-1),Y23),IF(AG23=MIN(AG$22:AG$24),Y23+(AD23-1),Y23)),Y23)</f>
        <v>#VALUE!</v>
      </c>
      <c r="AI23" s="118" t="e">
        <f t="shared" ref="AI23:AI24" si="26">IF(OR(AH23=AH24,AH23=AH25),"Égalité","")</f>
        <v>#VALUE!</v>
      </c>
      <c r="AJ23" s="118" t="e">
        <f t="shared" ref="AJ23:AJ24" si="27">IF(AI23="Égalité",AH23,"")</f>
        <v>#VALUE!</v>
      </c>
      <c r="AK23" s="118" t="e">
        <f t="shared" ref="AK23:AK24" si="28">IF(AI23="Égalité",MAX(AJ$22:AJ$24),"")</f>
        <v>#VALUE!</v>
      </c>
      <c r="AL23" s="118" t="e">
        <f t="shared" ref="AL23:AL24" si="29">IF(AI23="Égalité",MIN(AJ$22:AJ$24),"")</f>
        <v>#VALUE!</v>
      </c>
      <c r="AM23" s="118">
        <f t="shared" ref="AM23:AM24" si="30">COUNTIF(AH$22:AH$24,AH23)</f>
        <v>3</v>
      </c>
      <c r="AN23" s="118" t="str">
        <f t="shared" ref="AN23:AN24" si="31">$J7</f>
        <v/>
      </c>
      <c r="AO23" s="118" t="e">
        <f t="shared" ref="AO23:AO24" si="32">IF(AI23="Égalité",IF(AH23=AK23,"Égalité",""),"")</f>
        <v>#VALUE!</v>
      </c>
      <c r="AP23" s="119" t="e">
        <f t="shared" ref="AP23:AP24" si="33">IF(AI23="Égalité",IF(AH23=AK23,AN23,""),"")</f>
        <v>#VALUE!</v>
      </c>
      <c r="AQ23" s="117" t="e">
        <f t="shared" ref="AQ23:AQ24" si="34">IF(AI23="Égalité",IF(AND(AK23&lt;&gt;AL23,AJ23=MAX(AJ$22:AJ$24)),IF(AP23=MIN(AP$22:AP$24),AH23+(COUNTIF(AO$22:AO$24,"Égalité")-1),AH23),IF(AP23=MIN(AP$22:AP$24),AH23+(AM23-1),AH23)),AH23)</f>
        <v>#VALUE!</v>
      </c>
    </row>
    <row r="24" spans="2:45" ht="15.75" thickBot="1" x14ac:dyDescent="0.3">
      <c r="Y24" s="120" t="e">
        <f>N8</f>
        <v>#VALUE!</v>
      </c>
      <c r="Z24" s="121" t="e">
        <f>IF(OR(Y24=Y23,Y24=Y22),"Égalité","")</f>
        <v>#VALUE!</v>
      </c>
      <c r="AA24" s="121" t="e">
        <f t="shared" si="18"/>
        <v>#VALUE!</v>
      </c>
      <c r="AB24" s="121" t="e">
        <f t="shared" si="19"/>
        <v>#VALUE!</v>
      </c>
      <c r="AC24" s="121" t="e">
        <f t="shared" si="20"/>
        <v>#VALUE!</v>
      </c>
      <c r="AD24" s="121">
        <f t="shared" si="21"/>
        <v>3</v>
      </c>
      <c r="AE24" s="121" t="str">
        <f t="shared" si="22"/>
        <v/>
      </c>
      <c r="AF24" s="121" t="e">
        <f t="shared" si="23"/>
        <v>#VALUE!</v>
      </c>
      <c r="AG24" s="122" t="e">
        <f t="shared" si="24"/>
        <v>#VALUE!</v>
      </c>
      <c r="AH24" s="120" t="e">
        <f t="shared" si="25"/>
        <v>#VALUE!</v>
      </c>
      <c r="AI24" s="121" t="e">
        <f t="shared" si="26"/>
        <v>#VALUE!</v>
      </c>
      <c r="AJ24" s="121" t="e">
        <f t="shared" si="27"/>
        <v>#VALUE!</v>
      </c>
      <c r="AK24" s="121" t="e">
        <f t="shared" si="28"/>
        <v>#VALUE!</v>
      </c>
      <c r="AL24" s="121" t="e">
        <f t="shared" si="29"/>
        <v>#VALUE!</v>
      </c>
      <c r="AM24" s="121">
        <f t="shared" si="30"/>
        <v>3</v>
      </c>
      <c r="AN24" s="121" t="str">
        <f t="shared" si="31"/>
        <v/>
      </c>
      <c r="AO24" s="121" t="e">
        <f t="shared" si="32"/>
        <v>#VALUE!</v>
      </c>
      <c r="AP24" s="122" t="e">
        <f t="shared" si="33"/>
        <v>#VALUE!</v>
      </c>
      <c r="AQ24" s="120" t="e">
        <f t="shared" si="34"/>
        <v>#VALUE!</v>
      </c>
    </row>
  </sheetData>
  <mergeCells count="4">
    <mergeCell ref="D14:F14"/>
    <mergeCell ref="D15:F15"/>
    <mergeCell ref="D16:F16"/>
    <mergeCell ref="D17:F17"/>
  </mergeCells>
  <conditionalFormatting sqref="G6:G12">
    <cfRule type="cellIs" dxfId="4" priority="4" operator="equal">
      <formula>"Égalité"</formula>
    </cfRule>
  </conditionalFormatting>
  <conditionalFormatting sqref="D6:F12">
    <cfRule type="cellIs" dxfId="3" priority="3" operator="equal">
      <formula>"X"</formula>
    </cfRule>
  </conditionalFormatting>
  <conditionalFormatting sqref="C6:C12">
    <cfRule type="cellIs" dxfId="2" priority="2" operator="equal">
      <formula>0</formula>
    </cfRule>
  </conditionalFormatting>
  <conditionalFormatting sqref="D5:F5">
    <cfRule type="cellIs" dxfId="1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"/>
  <sheetViews>
    <sheetView zoomScaleNormal="100" workbookViewId="0">
      <selection activeCell="E12" sqref="E12"/>
    </sheetView>
  </sheetViews>
  <sheetFormatPr baseColWidth="10" defaultColWidth="20.7109375" defaultRowHeight="45" customHeight="1" x14ac:dyDescent="0.25"/>
  <cols>
    <col min="1" max="1" width="11.85546875" style="1" customWidth="1"/>
    <col min="2" max="2" width="20.7109375" style="1"/>
    <col min="3" max="12" width="19.140625" style="1" customWidth="1"/>
    <col min="13" max="16384" width="20.7109375" style="1"/>
  </cols>
  <sheetData>
    <row r="1" spans="2:12" ht="45" customHeight="1" x14ac:dyDescent="0.65">
      <c r="B1" s="12" t="s">
        <v>12</v>
      </c>
    </row>
    <row r="2" spans="2:12" ht="27.75" customHeight="1" thickBot="1" x14ac:dyDescent="0.3"/>
    <row r="3" spans="2:12" ht="67.5" customHeight="1" x14ac:dyDescent="0.5">
      <c r="B3" s="2"/>
      <c r="C3" s="154" t="s">
        <v>13</v>
      </c>
      <c r="D3" s="155"/>
      <c r="E3" s="154" t="s">
        <v>14</v>
      </c>
      <c r="F3" s="155"/>
      <c r="G3" s="154" t="s">
        <v>15</v>
      </c>
      <c r="H3" s="155"/>
      <c r="I3" s="154" t="s">
        <v>36</v>
      </c>
      <c r="J3" s="155"/>
      <c r="K3" s="154" t="s">
        <v>66</v>
      </c>
      <c r="L3" s="155"/>
    </row>
    <row r="4" spans="2:12" ht="36" customHeight="1" thickBot="1" x14ac:dyDescent="0.55000000000000004">
      <c r="B4" s="3"/>
      <c r="C4" s="132" t="s">
        <v>16</v>
      </c>
      <c r="D4" s="133" t="s">
        <v>17</v>
      </c>
      <c r="E4" s="132" t="s">
        <v>16</v>
      </c>
      <c r="F4" s="133" t="s">
        <v>17</v>
      </c>
      <c r="G4" s="132" t="s">
        <v>16</v>
      </c>
      <c r="H4" s="133" t="s">
        <v>17</v>
      </c>
      <c r="I4" s="132" t="s">
        <v>16</v>
      </c>
      <c r="J4" s="133" t="s">
        <v>17</v>
      </c>
      <c r="K4" s="132" t="s">
        <v>16</v>
      </c>
      <c r="L4" s="133" t="s">
        <v>17</v>
      </c>
    </row>
    <row r="5" spans="2:12" ht="45" customHeight="1" x14ac:dyDescent="0.5">
      <c r="B5" s="6" t="str">
        <f>PA</f>
        <v>Parti A</v>
      </c>
      <c r="C5" s="8" t="str">
        <f>SMU1T!$U$6</f>
        <v/>
      </c>
      <c r="D5" s="9" t="str">
        <f>SMU1T!S6</f>
        <v/>
      </c>
      <c r="E5" s="8" t="str">
        <f>SMU2T!P6</f>
        <v/>
      </c>
      <c r="F5" s="9" t="str">
        <f>SMU2T!Q6</f>
        <v/>
      </c>
      <c r="G5" s="8" t="str">
        <f>Prop!N6</f>
        <v/>
      </c>
      <c r="H5" s="9" t="str">
        <f>Prop!P6</f>
        <v/>
      </c>
      <c r="I5" s="8" t="str">
        <f>'Mixte comp'!K6</f>
        <v/>
      </c>
      <c r="J5" s="9" t="str">
        <f>'Mixte comp'!U6</f>
        <v/>
      </c>
      <c r="K5" s="8" t="str">
        <f>'Mixte parall'!U6</f>
        <v/>
      </c>
      <c r="L5" s="9" t="str">
        <f>'Mixte parall'!T6</f>
        <v/>
      </c>
    </row>
    <row r="6" spans="2:12" ht="45" customHeight="1" x14ac:dyDescent="0.5">
      <c r="B6" s="6" t="str">
        <f>PB</f>
        <v>Parti B</v>
      </c>
      <c r="C6" s="8" t="str">
        <f>SMU1T!U7</f>
        <v/>
      </c>
      <c r="D6" s="9" t="str">
        <f>SMU1T!S7</f>
        <v/>
      </c>
      <c r="E6" s="8" t="str">
        <f>SMU2T!P7</f>
        <v/>
      </c>
      <c r="F6" s="9" t="str">
        <f>SMU2T!Q7</f>
        <v/>
      </c>
      <c r="G6" s="8" t="str">
        <f>Prop!N7</f>
        <v/>
      </c>
      <c r="H6" s="9" t="str">
        <f>Prop!P7</f>
        <v/>
      </c>
      <c r="I6" s="8" t="str">
        <f>'Mixte comp'!K7</f>
        <v/>
      </c>
      <c r="J6" s="9" t="str">
        <f>'Mixte comp'!U7</f>
        <v/>
      </c>
      <c r="K6" s="8" t="str">
        <f>'Mixte parall'!U7</f>
        <v/>
      </c>
      <c r="L6" s="9" t="str">
        <f>'Mixte parall'!T7</f>
        <v/>
      </c>
    </row>
    <row r="7" spans="2:12" ht="45" customHeight="1" thickBot="1" x14ac:dyDescent="0.55000000000000004">
      <c r="B7" s="7" t="str">
        <f>PC</f>
        <v>Parti C</v>
      </c>
      <c r="C7" s="10" t="str">
        <f>SMU1T!U8</f>
        <v/>
      </c>
      <c r="D7" s="11" t="str">
        <f>SMU1T!S8</f>
        <v/>
      </c>
      <c r="E7" s="10" t="str">
        <f>SMU2T!P8</f>
        <v/>
      </c>
      <c r="F7" s="11" t="str">
        <f>SMU2T!Q8</f>
        <v/>
      </c>
      <c r="G7" s="10" t="str">
        <f>Prop!N8</f>
        <v/>
      </c>
      <c r="H7" s="11" t="str">
        <f>Prop!P8</f>
        <v/>
      </c>
      <c r="I7" s="10" t="str">
        <f>'Mixte comp'!K8</f>
        <v/>
      </c>
      <c r="J7" s="11" t="str">
        <f>'Mixte comp'!U8</f>
        <v/>
      </c>
      <c r="K7" s="10" t="str">
        <f>'Mixte parall'!U8</f>
        <v/>
      </c>
      <c r="L7" s="11" t="str">
        <f>'Mixte parall'!T8</f>
        <v/>
      </c>
    </row>
  </sheetData>
  <mergeCells count="5">
    <mergeCell ref="K3:L3"/>
    <mergeCell ref="C3:D3"/>
    <mergeCell ref="E3:F3"/>
    <mergeCell ref="G3:H3"/>
    <mergeCell ref="I3:J3"/>
  </mergeCells>
  <conditionalFormatting sqref="B5:B7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13</vt:i4>
      </vt:variant>
    </vt:vector>
  </HeadingPairs>
  <TitlesOfParts>
    <vt:vector size="20" baseType="lpstr">
      <vt:lpstr>Partis</vt:lpstr>
      <vt:lpstr>SMU1T</vt:lpstr>
      <vt:lpstr>SMU2T</vt:lpstr>
      <vt:lpstr>Prop</vt:lpstr>
      <vt:lpstr>Mixte comp</vt:lpstr>
      <vt:lpstr>Mixte parall</vt:lpstr>
      <vt:lpstr>Comparaisons</vt:lpstr>
      <vt:lpstr>CA</vt:lpstr>
      <vt:lpstr>CB</vt:lpstr>
      <vt:lpstr>CC</vt:lpstr>
      <vt:lpstr>CD</vt:lpstr>
      <vt:lpstr>CE</vt:lpstr>
      <vt:lpstr>CF</vt:lpstr>
      <vt:lpstr>CG</vt:lpstr>
      <vt:lpstr>Nb_sieges</vt:lpstr>
      <vt:lpstr>nb_smu1t</vt:lpstr>
      <vt:lpstr>nb_smu2t</vt:lpstr>
      <vt:lpstr>PA</vt:lpstr>
      <vt:lpstr>PB</vt:lpstr>
      <vt:lpstr>PC</vt:lpstr>
    </vt:vector>
  </TitlesOfParts>
  <Company>Cégep de Saint-Hyacinthe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François-Olivier Chené</dc:creator>
  <cp:lastModifiedBy>CRLT</cp:lastModifiedBy>
  <cp:lastPrinted>2012-09-11T17:57:11Z</cp:lastPrinted>
  <dcterms:created xsi:type="dcterms:W3CDTF">2012-05-08T17:35:40Z</dcterms:created>
  <dcterms:modified xsi:type="dcterms:W3CDTF">2013-02-25T01:42:38Z</dcterms:modified>
</cp:coreProperties>
</file>